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270" windowHeight="4170" tabRatio="871" activeTab="0"/>
  </bookViews>
  <sheets>
    <sheet name="прибыли (убытки)" sheetId="1" r:id="rId1"/>
    <sheet name="кэш-флоу" sheetId="2" r:id="rId2"/>
  </sheets>
  <definedNames/>
  <calcPr fullCalcOnLoad="1"/>
</workbook>
</file>

<file path=xl/sharedStrings.xml><?xml version="1.0" encoding="utf-8"?>
<sst xmlns="http://schemas.openxmlformats.org/spreadsheetml/2006/main" count="179" uniqueCount="110">
  <si>
    <t>Отчет о прибылях и убытках - прогноз (profit/loss statement)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</si>
  <si>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</si>
  <si>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</si>
  <si>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</si>
  <si>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</si>
  <si>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</si>
  <si>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</si>
  <si>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6 месяцев</t>
  </si>
  <si>
    <t>Январь</t>
  </si>
  <si>
    <t>Февраль</t>
  </si>
  <si>
    <t>Март</t>
  </si>
  <si>
    <t>Апрель</t>
  </si>
  <si>
    <t>Май</t>
  </si>
  <si>
    <t>Июнь</t>
  </si>
  <si>
    <t>Всего за год</t>
  </si>
  <si>
    <t>за 18 месяцев</t>
  </si>
  <si>
    <t>С учетом корректора налогов</t>
  </si>
  <si>
    <r>
      <t>Выручка от реализации услуг</t>
    </r>
    <r>
      <rPr>
        <sz val="10"/>
        <rFont val="Arial Cyr"/>
        <family val="2"/>
      </rPr>
      <t>,         в том числе</t>
    </r>
  </si>
  <si>
    <t>Подготовка информации</t>
  </si>
  <si>
    <t>составление текстов</t>
  </si>
  <si>
    <t>редактирование текстов</t>
  </si>
  <si>
    <t>перевод текстов</t>
  </si>
  <si>
    <t>перевод в формат HTML</t>
  </si>
  <si>
    <t>сканирование графики</t>
  </si>
  <si>
    <t>создание графики</t>
  </si>
  <si>
    <t>редактирование графики</t>
  </si>
  <si>
    <t>дизайн Web-страниц</t>
  </si>
  <si>
    <t>Размещение информации</t>
  </si>
  <si>
    <t>на собственном сервере</t>
  </si>
  <si>
    <t>в системах поиска</t>
  </si>
  <si>
    <t xml:space="preserve">в других ресурсах </t>
  </si>
  <si>
    <t>Поиск и предоставление информации</t>
  </si>
  <si>
    <t>Консультационные услуги</t>
  </si>
  <si>
    <t>по техническим вопросам</t>
  </si>
  <si>
    <t>по вопросам дизайна</t>
  </si>
  <si>
    <t>по вопросам маркетинга</t>
  </si>
  <si>
    <t>Другие услуги</t>
  </si>
  <si>
    <t>создание представительства клиента в Internet</t>
  </si>
  <si>
    <t>продвижение представительства клиента в Internet</t>
  </si>
  <si>
    <t>поддержка представительства клиента в Internet</t>
  </si>
  <si>
    <r>
      <t>Другие поступления</t>
    </r>
    <r>
      <rPr>
        <sz val="10"/>
        <rFont val="Arial Cyr"/>
        <family val="2"/>
      </rPr>
      <t>, в том числе:</t>
    </r>
  </si>
  <si>
    <t>кратковременная ссуда</t>
  </si>
  <si>
    <t xml:space="preserve">гранты, спонсорские взносы и другие поступления, не связанные с реализацией услуг </t>
  </si>
  <si>
    <t>КОРРЕКТОР ДОХОДОВ</t>
  </si>
  <si>
    <t>Всего доход</t>
  </si>
  <si>
    <t>НДС</t>
  </si>
  <si>
    <t>Всего доход без НДС</t>
  </si>
  <si>
    <t>НДС к выплате (справочно)</t>
  </si>
  <si>
    <t>Затраты на производство и сбыт услуг, в том числе</t>
  </si>
  <si>
    <t>ФЗП (фонд заработной платы)</t>
  </si>
  <si>
    <t xml:space="preserve">Руководитель </t>
  </si>
  <si>
    <t>Редактор</t>
  </si>
  <si>
    <t>Коммерческий директор</t>
  </si>
  <si>
    <t>менеджер по работе с клиентами</t>
  </si>
  <si>
    <t>Web-мастер</t>
  </si>
  <si>
    <t>секретарь-референт</t>
  </si>
  <si>
    <t>оператор ЭВМ</t>
  </si>
  <si>
    <t>секретарь (редактор)</t>
  </si>
  <si>
    <t>Премиальный фонд (10% от выручки)</t>
  </si>
  <si>
    <t>Услуги Internet-провайдера</t>
  </si>
  <si>
    <t>арендная плата за установку и поддержание сервера</t>
  </si>
  <si>
    <t>оплата времени соединения</t>
  </si>
  <si>
    <t>Дополнительные услуги связанные с ИНТЕРНЕТ</t>
  </si>
  <si>
    <t>дополнительные услуги (в том числе регистрация и поддержание доменных имен)</t>
  </si>
  <si>
    <t>Аренда помещения                                                          (с учетом коммунальных платежей)</t>
  </si>
  <si>
    <t>Общехозяйственные расходы</t>
  </si>
  <si>
    <t>Реклама и продвижение</t>
  </si>
  <si>
    <t>Оплата работ, выполненных привлеченными специалистами (фирмами)</t>
  </si>
  <si>
    <t>Непредвиденные расходы</t>
  </si>
  <si>
    <t>Затраты без НДС</t>
  </si>
  <si>
    <t>Амортизационные отчисления</t>
  </si>
  <si>
    <t>Оборудование</t>
  </si>
  <si>
    <t>Мебель</t>
  </si>
  <si>
    <t>Операционный доход (наценка)</t>
  </si>
  <si>
    <t>Налоги, включаемые в себестоимость</t>
  </si>
  <si>
    <t>Выплаты в пенсионный фонд</t>
  </si>
  <si>
    <t>Выплаты в фонд соц. страхования</t>
  </si>
  <si>
    <t>Выплаты на мед. страхование</t>
  </si>
  <si>
    <t>Выплаты в фонд занятости</t>
  </si>
  <si>
    <t>Транспортный налог</t>
  </si>
  <si>
    <t>Налог на  пользователей автодорог</t>
  </si>
  <si>
    <t>Валовая прибыль</t>
  </si>
  <si>
    <t>Налоги из прибыли</t>
  </si>
  <si>
    <t>Налог на нужды образования</t>
  </si>
  <si>
    <t>Налог на имущество (оборудование)</t>
  </si>
  <si>
    <t>Выплаты в жилфонд</t>
  </si>
  <si>
    <t>Балансовая прибыль</t>
  </si>
  <si>
    <t>Налог на прибыль</t>
  </si>
  <si>
    <t>Чистая прибыль</t>
  </si>
  <si>
    <t>Корректор налогов     (% уплаты)</t>
  </si>
  <si>
    <t>Отчет о движении денежных средств - прогноз  (cash flow statement)</t>
  </si>
  <si>
    <t xml:space="preserve"> </t>
  </si>
  <si>
    <t>Вид и источник поступлений</t>
  </si>
  <si>
    <t>Всего за 18 месяцев</t>
  </si>
  <si>
    <t xml:space="preserve">С учетом корректора налогов </t>
  </si>
  <si>
    <t>Остаток на начало периода</t>
  </si>
  <si>
    <t>ПОСТУПЛЕНИЯ  ВСЕГО</t>
  </si>
  <si>
    <t>Собственный (акционерный) капитал</t>
  </si>
  <si>
    <r>
      <t>Выручка от реализации услуг</t>
    </r>
    <r>
      <rPr>
        <sz val="10"/>
        <rFont val="Arial Cyr"/>
        <family val="2"/>
      </rPr>
      <t>, в том числе</t>
    </r>
  </si>
  <si>
    <t>ВЫПЛАТЫ ВСЕГО</t>
  </si>
  <si>
    <r>
      <t>Затраты на производство и сбыт услуг,</t>
    </r>
    <r>
      <rPr>
        <sz val="10"/>
        <rFont val="Arial Cyr"/>
        <family val="0"/>
      </rPr>
      <t xml:space="preserve">         в том числе</t>
    </r>
  </si>
  <si>
    <t>Затраты на приобретение основных фондов</t>
  </si>
  <si>
    <t>Прочее</t>
  </si>
  <si>
    <t>Налоги</t>
  </si>
  <si>
    <t>Налог на рекламу</t>
  </si>
  <si>
    <t>НДС к выплате</t>
  </si>
  <si>
    <t>Баланс поступлений и выплат от операционной деятельности</t>
  </si>
  <si>
    <t>Остаток   на конец периода                          (с учетом погашения займов)</t>
  </si>
  <si>
    <t>Потребность в заемных средствах</t>
  </si>
  <si>
    <t>Выплаты в погашение займов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</si>
</sst>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\ _р_._-;\-* #,##0.0\ _р_._-;_-* &quot;-&quot;??\ _р_._-;_-@_-"/>
    <numFmt numFmtId="166" formatCode="#,##0_ ;[Red]\-#,##0\ "/>
    <numFmt numFmtId="167" formatCode="0.0"/>
    <numFmt numFmtId="168" formatCode="000000"/>
    <numFmt numFmtId="169" formatCode="0.0000"/>
    <numFmt numFmtId="170" formatCode="0.000"/>
    <numFmt numFmtId="171" formatCode="0.000000"/>
    <numFmt numFmtId="172" formatCode="0.00000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10"/>
      <color indexed="16"/>
      <name val="Arial Cyr"/>
      <family val="0"/>
    </font>
    <font>
      <sz val="12"/>
      <color indexed="11"/>
      <name val="Arial Cyr"/>
      <family val="2"/>
    </font>
    <font>
      <b/>
      <sz val="12"/>
      <color indexed="11"/>
      <name val="Arial Cyr"/>
      <family val="2"/>
    </font>
    <font>
      <b/>
      <i/>
      <sz val="10"/>
      <color indexed="10"/>
      <name val="Arial Cyr"/>
      <family val="2"/>
    </font>
    <font>
      <b/>
      <sz val="10"/>
      <color indexed="8"/>
      <name val="Arial Cyr"/>
      <family val="2"/>
    </font>
    <font>
      <i/>
      <sz val="10"/>
      <color indexed="10"/>
      <name val="Arial Cyr"/>
      <family val="2"/>
    </font>
    <font>
      <b/>
      <sz val="10"/>
      <color indexed="38"/>
      <name val="Arial Cyr"/>
      <family val="0"/>
    </font>
    <font>
      <b/>
      <i/>
      <sz val="10"/>
      <color indexed="3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Continuous" vertical="center" wrapText="1"/>
    </xf>
    <xf numFmtId="164" fontId="1" fillId="0" borderId="3" xfId="18" applyNumberFormat="1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164" fontId="1" fillId="0" borderId="4" xfId="18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0" borderId="5" xfId="18" applyNumberFormat="1" applyFont="1" applyBorder="1" applyAlignment="1">
      <alignment horizontal="center" vertical="center" wrapText="1"/>
    </xf>
    <xf numFmtId="164" fontId="0" fillId="0" borderId="4" xfId="18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1" fillId="2" borderId="1" xfId="18" applyNumberFormat="1" applyFont="1" applyFill="1" applyBorder="1" applyAlignment="1">
      <alignment horizontal="center" vertical="center" wrapText="1"/>
    </xf>
    <xf numFmtId="164" fontId="5" fillId="0" borderId="6" xfId="18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1" fillId="2" borderId="8" xfId="18" applyNumberFormat="1" applyFont="1" applyFill="1" applyBorder="1" applyAlignment="1">
      <alignment horizontal="right" vertical="center" wrapText="1"/>
    </xf>
    <xf numFmtId="164" fontId="6" fillId="2" borderId="9" xfId="0" applyNumberFormat="1" applyFont="1" applyFill="1" applyBorder="1" applyAlignment="1">
      <alignment horizontal="right" vertical="center"/>
    </xf>
    <xf numFmtId="164" fontId="1" fillId="0" borderId="8" xfId="18" applyNumberFormat="1" applyFont="1" applyFill="1" applyBorder="1" applyAlignment="1">
      <alignment horizontal="right" vertical="center" wrapText="1"/>
    </xf>
    <xf numFmtId="164" fontId="1" fillId="2" borderId="9" xfId="0" applyNumberFormat="1" applyFont="1" applyFill="1" applyBorder="1" applyAlignment="1">
      <alignment horizontal="right" vertical="center"/>
    </xf>
    <xf numFmtId="164" fontId="1" fillId="0" borderId="8" xfId="18" applyNumberFormat="1" applyFont="1" applyBorder="1" applyAlignment="1">
      <alignment vertical="center" wrapText="1"/>
    </xf>
    <xf numFmtId="165" fontId="1" fillId="0" borderId="8" xfId="18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164" fontId="0" fillId="0" borderId="8" xfId="18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2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Font="1" applyFill="1" applyBorder="1" applyAlignment="1">
      <alignment horizontal="right" vertical="center" wrapText="1"/>
    </xf>
    <xf numFmtId="1" fontId="0" fillId="0" borderId="8" xfId="0" applyNumberFormat="1" applyFont="1" applyFill="1" applyBorder="1" applyAlignment="1">
      <alignment horizontal="right" vertical="center" wrapText="1"/>
    </xf>
    <xf numFmtId="1" fontId="0" fillId="2" borderId="9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2" borderId="9" xfId="18" applyNumberFormat="1" applyFont="1" applyFill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164" fontId="9" fillId="2" borderId="9" xfId="0" applyNumberFormat="1" applyFont="1" applyFill="1" applyBorder="1" applyAlignment="1">
      <alignment horizontal="right" vertical="center"/>
    </xf>
    <xf numFmtId="1" fontId="1" fillId="0" borderId="8" xfId="0" applyNumberFormat="1" applyFont="1" applyBorder="1" applyAlignment="1">
      <alignment horizontal="center" vertical="center" wrapText="1"/>
    </xf>
    <xf numFmtId="164" fontId="1" fillId="2" borderId="9" xfId="18" applyNumberFormat="1" applyFont="1" applyFill="1" applyBorder="1" applyAlignment="1">
      <alignment horizontal="right" vertical="center" wrapText="1"/>
    </xf>
    <xf numFmtId="0" fontId="0" fillId="0" borderId="8" xfId="0" applyFont="1" applyBorder="1" applyAlignment="1">
      <alignment horizontal="centerContinuous" vertical="top" wrapText="1"/>
    </xf>
    <xf numFmtId="0" fontId="0" fillId="0" borderId="8" xfId="0" applyFont="1" applyFill="1" applyBorder="1" applyAlignment="1">
      <alignment horizontal="right" vertical="top" wrapText="1"/>
    </xf>
    <xf numFmtId="1" fontId="0" fillId="0" borderId="8" xfId="0" applyNumberFormat="1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vertical="center" wrapText="1"/>
    </xf>
    <xf numFmtId="1" fontId="2" fillId="0" borderId="8" xfId="0" applyNumberFormat="1" applyFont="1" applyBorder="1" applyAlignment="1">
      <alignment vertical="center" wrapText="1"/>
    </xf>
    <xf numFmtId="1" fontId="2" fillId="0" borderId="8" xfId="0" applyNumberFormat="1" applyFont="1" applyFill="1" applyBorder="1" applyAlignment="1">
      <alignment horizontal="right" vertical="center" wrapText="1"/>
    </xf>
    <xf numFmtId="1" fontId="0" fillId="0" borderId="8" xfId="0" applyNumberFormat="1" applyBorder="1" applyAlignment="1">
      <alignment/>
    </xf>
    <xf numFmtId="1" fontId="0" fillId="0" borderId="8" xfId="0" applyNumberFormat="1" applyFill="1" applyBorder="1" applyAlignment="1">
      <alignment horizontal="right"/>
    </xf>
    <xf numFmtId="1" fontId="2" fillId="0" borderId="8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right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8" xfId="0" applyFill="1" applyBorder="1" applyAlignment="1">
      <alignment horizontal="right"/>
    </xf>
    <xf numFmtId="164" fontId="0" fillId="0" borderId="0" xfId="0" applyNumberFormat="1" applyFont="1" applyAlignment="1">
      <alignment/>
    </xf>
    <xf numFmtId="164" fontId="5" fillId="0" borderId="12" xfId="18" applyNumberFormat="1" applyFont="1" applyBorder="1" applyAlignment="1">
      <alignment/>
    </xf>
    <xf numFmtId="164" fontId="1" fillId="0" borderId="8" xfId="0" applyNumberFormat="1" applyFont="1" applyFill="1" applyBorder="1" applyAlignment="1">
      <alignment horizontal="centerContinuous" vertical="center" wrapText="1"/>
    </xf>
    <xf numFmtId="0" fontId="0" fillId="0" borderId="8" xfId="0" applyFont="1" applyFill="1" applyBorder="1" applyAlignment="1">
      <alignment horizontal="center" vertical="center" wrapText="1"/>
    </xf>
    <xf numFmtId="164" fontId="0" fillId="0" borderId="8" xfId="18" applyNumberFormat="1" applyFont="1" applyFill="1" applyBorder="1" applyAlignment="1">
      <alignment horizontal="center" vertical="center" wrapText="1"/>
    </xf>
    <xf numFmtId="164" fontId="1" fillId="2" borderId="13" xfId="18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64" fontId="1" fillId="0" borderId="8" xfId="18" applyNumberFormat="1" applyFont="1" applyFill="1" applyBorder="1" applyAlignment="1">
      <alignment vertical="center" wrapText="1"/>
    </xf>
    <xf numFmtId="164" fontId="1" fillId="2" borderId="9" xfId="18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164" fontId="0" fillId="2" borderId="9" xfId="18" applyNumberFormat="1" applyFont="1" applyFill="1" applyBorder="1" applyAlignment="1">
      <alignment vertical="center" wrapText="1"/>
    </xf>
    <xf numFmtId="164" fontId="0" fillId="2" borderId="10" xfId="18" applyNumberFormat="1" applyFont="1" applyFill="1" applyBorder="1" applyAlignment="1">
      <alignment vertical="center" wrapText="1"/>
    </xf>
    <xf numFmtId="164" fontId="0" fillId="2" borderId="11" xfId="18" applyNumberFormat="1" applyFont="1" applyFill="1" applyBorder="1" applyAlignment="1">
      <alignment vertical="center" wrapText="1"/>
    </xf>
    <xf numFmtId="164" fontId="2" fillId="0" borderId="8" xfId="18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right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1" fontId="1" fillId="0" borderId="8" xfId="0" applyNumberFormat="1" applyFont="1" applyFill="1" applyBorder="1" applyAlignment="1">
      <alignment vertical="center" wrapText="1"/>
    </xf>
    <xf numFmtId="164" fontId="1" fillId="2" borderId="10" xfId="18" applyNumberFormat="1" applyFont="1" applyFill="1" applyBorder="1" applyAlignment="1">
      <alignment vertical="center" wrapText="1"/>
    </xf>
    <xf numFmtId="164" fontId="1" fillId="2" borderId="11" xfId="18" applyNumberFormat="1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right" vertical="center" wrapText="1"/>
    </xf>
    <xf numFmtId="164" fontId="0" fillId="0" borderId="0" xfId="0" applyNumberFormat="1" applyAlignment="1">
      <alignment/>
    </xf>
    <xf numFmtId="164" fontId="1" fillId="2" borderId="10" xfId="18" applyNumberFormat="1" applyFont="1" applyFill="1" applyBorder="1" applyAlignment="1">
      <alignment horizontal="right" vertical="center" wrapText="1"/>
    </xf>
    <xf numFmtId="164" fontId="1" fillId="2" borderId="11" xfId="18" applyNumberFormat="1" applyFont="1" applyFill="1" applyBorder="1" applyAlignment="1">
      <alignment horizontal="right" vertical="center" wrapText="1"/>
    </xf>
    <xf numFmtId="164" fontId="1" fillId="2" borderId="10" xfId="18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0" fillId="0" borderId="8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Continuous" vertical="center" wrapText="1"/>
    </xf>
    <xf numFmtId="1" fontId="0" fillId="0" borderId="8" xfId="0" applyNumberFormat="1" applyFont="1" applyFill="1" applyBorder="1" applyAlignment="1">
      <alignment horizontal="centerContinuous" vertical="center" wrapText="1"/>
    </xf>
    <xf numFmtId="1" fontId="0" fillId="0" borderId="8" xfId="0" applyNumberFormat="1" applyFill="1" applyBorder="1" applyAlignment="1">
      <alignment vertical="center" wrapText="1"/>
    </xf>
    <xf numFmtId="1" fontId="1" fillId="0" borderId="8" xfId="0" applyNumberFormat="1" applyFont="1" applyFill="1" applyBorder="1" applyAlignment="1">
      <alignment vertical="center" wrapText="1"/>
    </xf>
    <xf numFmtId="166" fontId="0" fillId="0" borderId="0" xfId="0" applyNumberFormat="1" applyAlignment="1">
      <alignment horizontal="right" vertical="center" wrapText="1"/>
    </xf>
    <xf numFmtId="166" fontId="1" fillId="2" borderId="13" xfId="0" applyNumberFormat="1" applyFont="1" applyFill="1" applyBorder="1" applyAlignment="1">
      <alignment horizontal="center" vertical="center" wrapText="1"/>
    </xf>
    <xf numFmtId="166" fontId="1" fillId="2" borderId="9" xfId="18" applyNumberFormat="1" applyFont="1" applyFill="1" applyBorder="1" applyAlignment="1">
      <alignment horizontal="right" vertical="center" wrapText="1"/>
    </xf>
    <xf numFmtId="166" fontId="0" fillId="2" borderId="16" xfId="0" applyNumberFormat="1" applyFill="1" applyBorder="1" applyAlignment="1">
      <alignment horizontal="right" vertical="center" wrapText="1"/>
    </xf>
    <xf numFmtId="166" fontId="1" fillId="2" borderId="9" xfId="0" applyNumberFormat="1" applyFont="1" applyFill="1" applyBorder="1" applyAlignment="1">
      <alignment vertical="center" wrapText="1"/>
    </xf>
    <xf numFmtId="166" fontId="1" fillId="2" borderId="9" xfId="0" applyNumberFormat="1" applyFont="1" applyFill="1" applyBorder="1" applyAlignment="1">
      <alignment horizontal="right" vertical="center" wrapText="1"/>
    </xf>
    <xf numFmtId="166" fontId="1" fillId="2" borderId="9" xfId="0" applyNumberFormat="1" applyFont="1" applyFill="1" applyBorder="1" applyAlignment="1">
      <alignment vertical="center" wrapText="1"/>
    </xf>
    <xf numFmtId="166" fontId="1" fillId="2" borderId="9" xfId="0" applyNumberFormat="1" applyFont="1" applyFill="1" applyBorder="1" applyAlignment="1">
      <alignment horizontal="right" vertical="center" wrapText="1"/>
    </xf>
    <xf numFmtId="166" fontId="2" fillId="2" borderId="9" xfId="0" applyNumberFormat="1" applyFont="1" applyFill="1" applyBorder="1" applyAlignment="1">
      <alignment horizontal="center" vertical="center" wrapText="1"/>
    </xf>
    <xf numFmtId="166" fontId="1" fillId="2" borderId="16" xfId="0" applyNumberFormat="1" applyFont="1" applyFill="1" applyBorder="1" applyAlignment="1">
      <alignment horizontal="right" vertical="center" wrapText="1"/>
    </xf>
    <xf numFmtId="1" fontId="0" fillId="2" borderId="8" xfId="0" applyNumberFormat="1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vertical="center" wrapText="1"/>
    </xf>
    <xf numFmtId="164" fontId="1" fillId="2" borderId="9" xfId="18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164" fontId="12" fillId="2" borderId="10" xfId="18" applyNumberFormat="1" applyFont="1" applyFill="1" applyBorder="1" applyAlignment="1">
      <alignment horizontal="right" vertical="center" wrapText="1"/>
    </xf>
    <xf numFmtId="164" fontId="13" fillId="2" borderId="18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0" fontId="2" fillId="0" borderId="8" xfId="0" applyFont="1" applyFill="1" applyBorder="1" applyAlignment="1" applyProtection="1">
      <alignment vertical="center" wrapText="1"/>
      <protection locked="0"/>
    </xf>
    <xf numFmtId="164" fontId="2" fillId="0" borderId="8" xfId="18" applyNumberFormat="1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164" fontId="0" fillId="2" borderId="9" xfId="18" applyNumberFormat="1" applyFont="1" applyFill="1" applyBorder="1" applyAlignment="1" applyProtection="1">
      <alignment vertical="center" wrapText="1"/>
      <protection/>
    </xf>
    <xf numFmtId="1" fontId="2" fillId="0" borderId="8" xfId="0" applyNumberFormat="1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1" fontId="1" fillId="2" borderId="8" xfId="0" applyNumberFormat="1" applyFont="1" applyFill="1" applyBorder="1" applyAlignment="1">
      <alignment vertical="center" wrapText="1"/>
    </xf>
    <xf numFmtId="164" fontId="1" fillId="2" borderId="8" xfId="18" applyNumberFormat="1" applyFont="1" applyFill="1" applyBorder="1" applyAlignment="1">
      <alignment vertical="center" wrapText="1"/>
    </xf>
    <xf numFmtId="1" fontId="2" fillId="0" borderId="8" xfId="0" applyNumberFormat="1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1" fillId="0" borderId="9" xfId="0" applyFont="1" applyBorder="1" applyAlignment="1">
      <alignment wrapText="1"/>
    </xf>
    <xf numFmtId="0" fontId="0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Fill="1" applyBorder="1" applyAlignment="1">
      <alignment horizontal="left" vertical="center" wrapText="1"/>
    </xf>
    <xf numFmtId="164" fontId="1" fillId="2" borderId="1" xfId="18" applyNumberFormat="1" applyFont="1" applyFill="1" applyBorder="1" applyAlignment="1">
      <alignment horizontal="center" vertical="center" wrapText="1"/>
    </xf>
    <xf numFmtId="1" fontId="1" fillId="2" borderId="9" xfId="18" applyNumberFormat="1" applyFont="1" applyFill="1" applyBorder="1" applyAlignment="1">
      <alignment horizontal="right" vertical="center" wrapText="1"/>
    </xf>
    <xf numFmtId="164" fontId="1" fillId="2" borderId="20" xfId="18" applyNumberFormat="1" applyFont="1" applyFill="1" applyBorder="1" applyAlignment="1">
      <alignment horizontal="right" vertical="center" wrapText="1"/>
    </xf>
    <xf numFmtId="164" fontId="12" fillId="0" borderId="10" xfId="18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8" fillId="0" borderId="9" xfId="0" applyFont="1" applyBorder="1" applyAlignment="1">
      <alignment horizontal="right" vertical="center" wrapText="1"/>
    </xf>
    <xf numFmtId="0" fontId="0" fillId="0" borderId="19" xfId="0" applyBorder="1" applyAlignment="1">
      <alignment wrapText="1"/>
    </xf>
    <xf numFmtId="0" fontId="2" fillId="0" borderId="9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164" fontId="1" fillId="2" borderId="16" xfId="0" applyNumberFormat="1" applyFont="1" applyFill="1" applyBorder="1" applyAlignment="1">
      <alignment vertical="center" wrapText="1"/>
    </xf>
    <xf numFmtId="164" fontId="1" fillId="2" borderId="16" xfId="0" applyNumberFormat="1" applyFont="1" applyFill="1" applyBorder="1" applyAlignment="1">
      <alignment horizontal="right" vertical="center" wrapText="1"/>
    </xf>
    <xf numFmtId="164" fontId="1" fillId="2" borderId="2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24" xfId="0" applyFont="1" applyBorder="1" applyAlignment="1">
      <alignment horizontal="centerContinuous" vertical="center" wrapText="1"/>
    </xf>
    <xf numFmtId="164" fontId="1" fillId="2" borderId="9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Continuous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workbookViewId="0" topLeftCell="A1">
      <pane xSplit="4635" topLeftCell="B1" activePane="topLeft" state="split"/>
      <selection pane="topLeft" activeCell="A1" sqref="A1"/>
      <selection pane="topRight" activeCell="A7" sqref="A7"/>
      <selection pane="topLeft" activeCell="A1" sqref="A1"/>
      <selection pane="topRight" activeCell="A59" sqref="A59"/>
    </sheetView>
  </sheetViews>
  <sheetFormatPr defaultColWidth="9.00390625" defaultRowHeight="12.75" outlineLevelRow="2" outlineLevelCol="1"/>
  <cols>
    <col min="1" max="1" width="34.00390625" style="100" customWidth="1"/>
    <col min="2" max="7" width="10.75390625" style="100" customWidth="1" outlineLevel="1"/>
    <col min="8" max="8" width="10.75390625" style="100" customWidth="1"/>
    <col min="9" max="20" width="10.75390625" style="100" customWidth="1" outlineLevel="1"/>
    <col min="21" max="21" width="12.00390625" style="100" customWidth="1"/>
    <col min="22" max="22" width="12.25390625" style="100" customWidth="1"/>
    <col min="23" max="23" width="13.75390625" style="106" customWidth="1"/>
    <col min="24" max="16384" width="9.125" style="100" customWidth="1"/>
  </cols>
  <sheetData>
    <row r="1" spans="1:23" ht="38.25">
      <c r="A1" s="169" t="s">
        <v>0</v>
      </c>
      <c r="B1" s="63" t="s">
        <v>1</v>
      </c>
      <c r="C1" s="63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5" t="s">
        <v>7</v>
      </c>
      <c r="I1" s="63" t="s">
        <v>8</v>
      </c>
      <c r="J1" s="63" t="s">
        <v>9</v>
      </c>
      <c r="K1" s="63" t="s">
        <v>10</v>
      </c>
      <c r="L1" s="63" t="s">
        <v>11</v>
      </c>
      <c r="M1" s="63" t="s">
        <v>12</v>
      </c>
      <c r="N1" s="63" t="s">
        <v>13</v>
      </c>
      <c r="O1" s="63" t="s">
        <v>1</v>
      </c>
      <c r="P1" s="63" t="s">
        <v>2</v>
      </c>
      <c r="Q1" s="63" t="s">
        <v>3</v>
      </c>
      <c r="R1" s="63" t="s">
        <v>4</v>
      </c>
      <c r="S1" s="63" t="s">
        <v>5</v>
      </c>
      <c r="T1" s="63" t="s">
        <v>6</v>
      </c>
      <c r="U1" s="66" t="s">
        <v>14</v>
      </c>
      <c r="V1" s="67" t="s">
        <v>15</v>
      </c>
      <c r="W1" s="107" t="s">
        <v>16</v>
      </c>
    </row>
    <row r="2" spans="1:23" ht="25.5">
      <c r="A2" s="81" t="s">
        <v>17</v>
      </c>
      <c r="B2" s="68">
        <f aca="true" t="shared" si="0" ref="B2:G2">SUM(B3,B12,B16,B17,B21)</f>
        <v>0</v>
      </c>
      <c r="C2" s="68">
        <f t="shared" si="0"/>
        <v>0</v>
      </c>
      <c r="D2" s="68">
        <f t="shared" si="0"/>
        <v>1000</v>
      </c>
      <c r="E2" s="68">
        <f t="shared" si="0"/>
        <v>2700</v>
      </c>
      <c r="F2" s="68">
        <f t="shared" si="0"/>
        <v>4875</v>
      </c>
      <c r="G2" s="68">
        <f t="shared" si="0"/>
        <v>5550</v>
      </c>
      <c r="H2" s="69">
        <f aca="true" t="shared" si="1" ref="H2:H17">SUM(B2:G2)</f>
        <v>14125</v>
      </c>
      <c r="I2" s="68">
        <f aca="true" t="shared" si="2" ref="I2:W2">SUM(I3,I12,I16,I17,I21,I28)</f>
        <v>7550</v>
      </c>
      <c r="J2" s="68">
        <f t="shared" si="2"/>
        <v>8825</v>
      </c>
      <c r="K2" s="68">
        <f t="shared" si="2"/>
        <v>9127.5</v>
      </c>
      <c r="L2" s="68">
        <f t="shared" si="2"/>
        <v>10460.25</v>
      </c>
      <c r="M2" s="68">
        <f t="shared" si="2"/>
        <v>10826.275000000001</v>
      </c>
      <c r="N2" s="68">
        <f t="shared" si="2"/>
        <v>12228.902500000002</v>
      </c>
      <c r="O2" s="68">
        <f t="shared" si="2"/>
        <v>13021.792750000004</v>
      </c>
      <c r="P2" s="68">
        <f t="shared" si="2"/>
        <v>13508.972025000003</v>
      </c>
      <c r="Q2" s="68">
        <f t="shared" si="2"/>
        <v>16594.869227500003</v>
      </c>
      <c r="R2" s="68">
        <f t="shared" si="2"/>
        <v>17184.356150250005</v>
      </c>
      <c r="S2" s="68">
        <f t="shared" si="2"/>
        <v>18132.791765275004</v>
      </c>
      <c r="T2" s="18">
        <f t="shared" si="2"/>
        <v>18846.070941802507</v>
      </c>
      <c r="U2" s="99">
        <f aca="true" t="shared" si="3" ref="U2:U17">SUM(I2:T2)</f>
        <v>156306.78035982756</v>
      </c>
      <c r="V2" s="98">
        <f aca="true" t="shared" si="4" ref="V2:V17">SUM(H2,U2)</f>
        <v>170431.78035982756</v>
      </c>
      <c r="W2" s="108">
        <f t="shared" si="2"/>
        <v>170431.78035982753</v>
      </c>
    </row>
    <row r="3" spans="1:23" ht="12.75" outlineLevel="1">
      <c r="A3" s="70" t="s">
        <v>18</v>
      </c>
      <c r="B3" s="71">
        <f aca="true" t="shared" si="5" ref="B3:G3">SUM(B4:B11)</f>
        <v>0</v>
      </c>
      <c r="C3" s="71">
        <f t="shared" si="5"/>
        <v>0</v>
      </c>
      <c r="D3" s="71">
        <f t="shared" si="5"/>
        <v>750</v>
      </c>
      <c r="E3" s="71">
        <f t="shared" si="5"/>
        <v>1350</v>
      </c>
      <c r="F3" s="71">
        <f t="shared" si="5"/>
        <v>1775</v>
      </c>
      <c r="G3" s="71">
        <f t="shared" si="5"/>
        <v>2150</v>
      </c>
      <c r="H3" s="72">
        <f t="shared" si="1"/>
        <v>6025</v>
      </c>
      <c r="I3" s="64">
        <f aca="true" t="shared" si="6" ref="I3:T3">SUM(I4:I11)</f>
        <v>2150</v>
      </c>
      <c r="J3" s="64">
        <f t="shared" si="6"/>
        <v>2365</v>
      </c>
      <c r="K3" s="64">
        <f t="shared" si="6"/>
        <v>2601.5000000000005</v>
      </c>
      <c r="L3" s="64">
        <f t="shared" si="6"/>
        <v>2861.6500000000005</v>
      </c>
      <c r="M3" s="64">
        <f t="shared" si="6"/>
        <v>3147.815000000002</v>
      </c>
      <c r="N3" s="64">
        <f t="shared" si="6"/>
        <v>3462.596500000002</v>
      </c>
      <c r="O3" s="64">
        <f t="shared" si="6"/>
        <v>3808.8561500000023</v>
      </c>
      <c r="P3" s="64">
        <f t="shared" si="6"/>
        <v>4189.7417650000025</v>
      </c>
      <c r="Q3" s="64">
        <f t="shared" si="6"/>
        <v>4608.715941500003</v>
      </c>
      <c r="R3" s="64">
        <f t="shared" si="6"/>
        <v>5069.587535650004</v>
      </c>
      <c r="S3" s="64">
        <f t="shared" si="6"/>
        <v>5576.546289215004</v>
      </c>
      <c r="T3" s="64">
        <f t="shared" si="6"/>
        <v>6134.200918136505</v>
      </c>
      <c r="U3" s="73">
        <f t="shared" si="3"/>
        <v>45976.21009950153</v>
      </c>
      <c r="V3" s="74">
        <f t="shared" si="4"/>
        <v>52001.21009950153</v>
      </c>
      <c r="W3" s="109">
        <f aca="true" t="shared" si="7" ref="W3:W24">V3</f>
        <v>52001.21009950153</v>
      </c>
    </row>
    <row r="4" spans="1:23" ht="12.75" outlineLevel="2">
      <c r="A4" s="76" t="s">
        <v>19</v>
      </c>
      <c r="B4" s="127"/>
      <c r="C4" s="127"/>
      <c r="D4" s="127"/>
      <c r="E4" s="127">
        <v>50</v>
      </c>
      <c r="F4" s="127">
        <v>75</v>
      </c>
      <c r="G4" s="127">
        <v>100</v>
      </c>
      <c r="H4" s="72">
        <f t="shared" si="1"/>
        <v>225</v>
      </c>
      <c r="I4" s="128">
        <v>100</v>
      </c>
      <c r="J4" s="128">
        <f>I4*1.1</f>
        <v>110.00000000000001</v>
      </c>
      <c r="K4" s="128">
        <f aca="true" t="shared" si="8" ref="K4:T4">J4*1.1</f>
        <v>121.00000000000003</v>
      </c>
      <c r="L4" s="128">
        <f t="shared" si="8"/>
        <v>133.10000000000005</v>
      </c>
      <c r="M4" s="128">
        <f>L4*1.1</f>
        <v>146.41000000000008</v>
      </c>
      <c r="N4" s="128">
        <f t="shared" si="8"/>
        <v>161.0510000000001</v>
      </c>
      <c r="O4" s="128">
        <f t="shared" si="8"/>
        <v>177.15610000000012</v>
      </c>
      <c r="P4" s="128">
        <f>O4*1.1</f>
        <v>194.87171000000015</v>
      </c>
      <c r="Q4" s="128">
        <f t="shared" si="8"/>
        <v>214.3588810000002</v>
      </c>
      <c r="R4" s="128">
        <f t="shared" si="8"/>
        <v>235.79476910000022</v>
      </c>
      <c r="S4" s="128">
        <f>R4*1.1</f>
        <v>259.37424601000026</v>
      </c>
      <c r="T4" s="128">
        <f t="shared" si="8"/>
        <v>285.3116706110003</v>
      </c>
      <c r="U4" s="73">
        <f t="shared" si="3"/>
        <v>2138.4283767210013</v>
      </c>
      <c r="V4" s="74">
        <f t="shared" si="4"/>
        <v>2363.4283767210013</v>
      </c>
      <c r="W4" s="109">
        <f t="shared" si="7"/>
        <v>2363.4283767210013</v>
      </c>
    </row>
    <row r="5" spans="1:23" ht="12.75" outlineLevel="2">
      <c r="A5" s="76" t="s">
        <v>20</v>
      </c>
      <c r="B5" s="127"/>
      <c r="C5" s="127"/>
      <c r="D5" s="127"/>
      <c r="E5" s="127">
        <v>50</v>
      </c>
      <c r="F5" s="127">
        <v>75</v>
      </c>
      <c r="G5" s="127">
        <v>100</v>
      </c>
      <c r="H5" s="72">
        <f t="shared" si="1"/>
        <v>225</v>
      </c>
      <c r="I5" s="127">
        <v>100</v>
      </c>
      <c r="J5" s="128">
        <f aca="true" t="shared" si="9" ref="J5:T11">I5*1.1</f>
        <v>110.00000000000001</v>
      </c>
      <c r="K5" s="128">
        <f t="shared" si="9"/>
        <v>121.00000000000003</v>
      </c>
      <c r="L5" s="128">
        <f t="shared" si="9"/>
        <v>133.10000000000005</v>
      </c>
      <c r="M5" s="128">
        <f t="shared" si="9"/>
        <v>146.41000000000008</v>
      </c>
      <c r="N5" s="128">
        <f t="shared" si="9"/>
        <v>161.0510000000001</v>
      </c>
      <c r="O5" s="128">
        <f t="shared" si="9"/>
        <v>177.15610000000012</v>
      </c>
      <c r="P5" s="128">
        <f t="shared" si="9"/>
        <v>194.87171000000015</v>
      </c>
      <c r="Q5" s="128">
        <f t="shared" si="9"/>
        <v>214.3588810000002</v>
      </c>
      <c r="R5" s="128">
        <f t="shared" si="9"/>
        <v>235.79476910000022</v>
      </c>
      <c r="S5" s="128">
        <f t="shared" si="9"/>
        <v>259.37424601000026</v>
      </c>
      <c r="T5" s="128">
        <f t="shared" si="9"/>
        <v>285.3116706110003</v>
      </c>
      <c r="U5" s="73">
        <f t="shared" si="3"/>
        <v>2138.4283767210013</v>
      </c>
      <c r="V5" s="74">
        <f t="shared" si="4"/>
        <v>2363.4283767210013</v>
      </c>
      <c r="W5" s="109">
        <f t="shared" si="7"/>
        <v>2363.4283767210013</v>
      </c>
    </row>
    <row r="6" spans="1:23" ht="12.75" outlineLevel="2">
      <c r="A6" s="76" t="s">
        <v>21</v>
      </c>
      <c r="B6" s="127"/>
      <c r="C6" s="127"/>
      <c r="D6" s="127">
        <v>50</v>
      </c>
      <c r="E6" s="127">
        <v>50</v>
      </c>
      <c r="F6" s="127">
        <v>75</v>
      </c>
      <c r="G6" s="127">
        <v>100</v>
      </c>
      <c r="H6" s="72">
        <f t="shared" si="1"/>
        <v>275</v>
      </c>
      <c r="I6" s="127">
        <v>100</v>
      </c>
      <c r="J6" s="128">
        <f t="shared" si="9"/>
        <v>110.00000000000001</v>
      </c>
      <c r="K6" s="128">
        <f t="shared" si="9"/>
        <v>121.00000000000003</v>
      </c>
      <c r="L6" s="128">
        <f t="shared" si="9"/>
        <v>133.10000000000005</v>
      </c>
      <c r="M6" s="128">
        <f t="shared" si="9"/>
        <v>146.41000000000008</v>
      </c>
      <c r="N6" s="128">
        <f t="shared" si="9"/>
        <v>161.0510000000001</v>
      </c>
      <c r="O6" s="128">
        <f t="shared" si="9"/>
        <v>177.15610000000012</v>
      </c>
      <c r="P6" s="128">
        <f t="shared" si="9"/>
        <v>194.87171000000015</v>
      </c>
      <c r="Q6" s="128">
        <f t="shared" si="9"/>
        <v>214.3588810000002</v>
      </c>
      <c r="R6" s="128">
        <f t="shared" si="9"/>
        <v>235.79476910000022</v>
      </c>
      <c r="S6" s="128">
        <f t="shared" si="9"/>
        <v>259.37424601000026</v>
      </c>
      <c r="T6" s="128">
        <f t="shared" si="9"/>
        <v>285.3116706110003</v>
      </c>
      <c r="U6" s="73">
        <f t="shared" si="3"/>
        <v>2138.4283767210013</v>
      </c>
      <c r="V6" s="74">
        <f t="shared" si="4"/>
        <v>2413.4283767210013</v>
      </c>
      <c r="W6" s="109">
        <f t="shared" si="7"/>
        <v>2413.4283767210013</v>
      </c>
    </row>
    <row r="7" spans="1:23" ht="12.75" outlineLevel="2">
      <c r="A7" s="76" t="s">
        <v>22</v>
      </c>
      <c r="B7" s="127"/>
      <c r="C7" s="127"/>
      <c r="D7" s="127">
        <v>400</v>
      </c>
      <c r="E7" s="127">
        <v>600</v>
      </c>
      <c r="F7" s="127">
        <v>700</v>
      </c>
      <c r="G7" s="127">
        <v>800</v>
      </c>
      <c r="H7" s="72">
        <f t="shared" si="1"/>
        <v>2500</v>
      </c>
      <c r="I7" s="127">
        <v>800</v>
      </c>
      <c r="J7" s="128">
        <f t="shared" si="9"/>
        <v>880.0000000000001</v>
      </c>
      <c r="K7" s="128">
        <f t="shared" si="9"/>
        <v>968.0000000000002</v>
      </c>
      <c r="L7" s="128">
        <f t="shared" si="9"/>
        <v>1064.8000000000004</v>
      </c>
      <c r="M7" s="128">
        <f t="shared" si="9"/>
        <v>1171.2800000000007</v>
      </c>
      <c r="N7" s="128">
        <f t="shared" si="9"/>
        <v>1288.4080000000008</v>
      </c>
      <c r="O7" s="128">
        <f t="shared" si="9"/>
        <v>1417.248800000001</v>
      </c>
      <c r="P7" s="128">
        <f t="shared" si="9"/>
        <v>1558.9736800000012</v>
      </c>
      <c r="Q7" s="128">
        <f t="shared" si="9"/>
        <v>1714.8710480000016</v>
      </c>
      <c r="R7" s="128">
        <f t="shared" si="9"/>
        <v>1886.3581528000018</v>
      </c>
      <c r="S7" s="128">
        <f t="shared" si="9"/>
        <v>2074.993968080002</v>
      </c>
      <c r="T7" s="128">
        <f t="shared" si="9"/>
        <v>2282.4933648880024</v>
      </c>
      <c r="U7" s="73">
        <f t="shared" si="3"/>
        <v>17107.42701376801</v>
      </c>
      <c r="V7" s="74">
        <f t="shared" si="4"/>
        <v>19607.42701376801</v>
      </c>
      <c r="W7" s="109">
        <f t="shared" si="7"/>
        <v>19607.42701376801</v>
      </c>
    </row>
    <row r="8" spans="1:23" ht="12.75" outlineLevel="2">
      <c r="A8" s="76" t="s">
        <v>23</v>
      </c>
      <c r="B8" s="127"/>
      <c r="C8" s="127"/>
      <c r="D8" s="127">
        <v>100</v>
      </c>
      <c r="E8" s="127">
        <v>150</v>
      </c>
      <c r="F8" s="127">
        <v>200</v>
      </c>
      <c r="G8" s="127">
        <v>200</v>
      </c>
      <c r="H8" s="72">
        <f t="shared" si="1"/>
        <v>650</v>
      </c>
      <c r="I8" s="127">
        <v>200</v>
      </c>
      <c r="J8" s="128">
        <f t="shared" si="9"/>
        <v>220.00000000000003</v>
      </c>
      <c r="K8" s="128">
        <f t="shared" si="9"/>
        <v>242.00000000000006</v>
      </c>
      <c r="L8" s="128">
        <f t="shared" si="9"/>
        <v>266.2000000000001</v>
      </c>
      <c r="M8" s="128">
        <f t="shared" si="9"/>
        <v>292.82000000000016</v>
      </c>
      <c r="N8" s="128">
        <f t="shared" si="9"/>
        <v>322.1020000000002</v>
      </c>
      <c r="O8" s="128">
        <f t="shared" si="9"/>
        <v>354.31220000000025</v>
      </c>
      <c r="P8" s="128">
        <f t="shared" si="9"/>
        <v>389.7434200000003</v>
      </c>
      <c r="Q8" s="128">
        <f t="shared" si="9"/>
        <v>428.7177620000004</v>
      </c>
      <c r="R8" s="128">
        <f t="shared" si="9"/>
        <v>471.58953820000045</v>
      </c>
      <c r="S8" s="128">
        <f t="shared" si="9"/>
        <v>518.7484920200005</v>
      </c>
      <c r="T8" s="128">
        <f t="shared" si="9"/>
        <v>570.6233412220006</v>
      </c>
      <c r="U8" s="73">
        <f t="shared" si="3"/>
        <v>4276.856753442003</v>
      </c>
      <c r="V8" s="74">
        <f t="shared" si="4"/>
        <v>4926.856753442003</v>
      </c>
      <c r="W8" s="109">
        <f t="shared" si="7"/>
        <v>4926.856753442003</v>
      </c>
    </row>
    <row r="9" spans="1:23" ht="12.75" outlineLevel="2">
      <c r="A9" s="76" t="s">
        <v>24</v>
      </c>
      <c r="B9" s="127"/>
      <c r="C9" s="127"/>
      <c r="D9" s="127"/>
      <c r="E9" s="127">
        <v>100</v>
      </c>
      <c r="F9" s="127">
        <v>150</v>
      </c>
      <c r="G9" s="127">
        <v>200</v>
      </c>
      <c r="H9" s="72">
        <f t="shared" si="1"/>
        <v>450</v>
      </c>
      <c r="I9" s="127">
        <v>200</v>
      </c>
      <c r="J9" s="128">
        <f t="shared" si="9"/>
        <v>220.00000000000003</v>
      </c>
      <c r="K9" s="128">
        <f t="shared" si="9"/>
        <v>242.00000000000006</v>
      </c>
      <c r="L9" s="128">
        <f t="shared" si="9"/>
        <v>266.2000000000001</v>
      </c>
      <c r="M9" s="128">
        <f t="shared" si="9"/>
        <v>292.82000000000016</v>
      </c>
      <c r="N9" s="128">
        <f t="shared" si="9"/>
        <v>322.1020000000002</v>
      </c>
      <c r="O9" s="128">
        <f t="shared" si="9"/>
        <v>354.31220000000025</v>
      </c>
      <c r="P9" s="128">
        <f t="shared" si="9"/>
        <v>389.7434200000003</v>
      </c>
      <c r="Q9" s="128">
        <f t="shared" si="9"/>
        <v>428.7177620000004</v>
      </c>
      <c r="R9" s="128">
        <f t="shared" si="9"/>
        <v>471.58953820000045</v>
      </c>
      <c r="S9" s="128">
        <f t="shared" si="9"/>
        <v>518.7484920200005</v>
      </c>
      <c r="T9" s="128">
        <f t="shared" si="9"/>
        <v>570.6233412220006</v>
      </c>
      <c r="U9" s="73">
        <f t="shared" si="3"/>
        <v>4276.856753442003</v>
      </c>
      <c r="V9" s="74">
        <f t="shared" si="4"/>
        <v>4726.856753442003</v>
      </c>
      <c r="W9" s="109">
        <f t="shared" si="7"/>
        <v>4726.856753442003</v>
      </c>
    </row>
    <row r="10" spans="1:23" ht="12.75" outlineLevel="2">
      <c r="A10" s="76" t="s">
        <v>25</v>
      </c>
      <c r="B10" s="127"/>
      <c r="C10" s="127"/>
      <c r="D10" s="127"/>
      <c r="E10" s="127">
        <v>50</v>
      </c>
      <c r="F10" s="127">
        <v>100</v>
      </c>
      <c r="G10" s="127">
        <v>150</v>
      </c>
      <c r="H10" s="72">
        <f t="shared" si="1"/>
        <v>300</v>
      </c>
      <c r="I10" s="127">
        <v>150</v>
      </c>
      <c r="J10" s="128">
        <f t="shared" si="9"/>
        <v>165</v>
      </c>
      <c r="K10" s="128">
        <f t="shared" si="9"/>
        <v>181.50000000000003</v>
      </c>
      <c r="L10" s="128">
        <f t="shared" si="9"/>
        <v>199.65000000000003</v>
      </c>
      <c r="M10" s="128">
        <f t="shared" si="9"/>
        <v>219.61500000000007</v>
      </c>
      <c r="N10" s="128">
        <f t="shared" si="9"/>
        <v>241.5765000000001</v>
      </c>
      <c r="O10" s="128">
        <f t="shared" si="9"/>
        <v>265.7341500000001</v>
      </c>
      <c r="P10" s="128">
        <f t="shared" si="9"/>
        <v>292.3075650000001</v>
      </c>
      <c r="Q10" s="128">
        <f t="shared" si="9"/>
        <v>321.53832150000017</v>
      </c>
      <c r="R10" s="128">
        <f t="shared" si="9"/>
        <v>353.6921536500002</v>
      </c>
      <c r="S10" s="128">
        <f t="shared" si="9"/>
        <v>389.06136901500025</v>
      </c>
      <c r="T10" s="128">
        <f t="shared" si="9"/>
        <v>427.96750591650033</v>
      </c>
      <c r="U10" s="73">
        <f t="shared" si="3"/>
        <v>3207.6425650815013</v>
      </c>
      <c r="V10" s="74">
        <f t="shared" si="4"/>
        <v>3507.6425650815013</v>
      </c>
      <c r="W10" s="109">
        <f t="shared" si="7"/>
        <v>3507.6425650815013</v>
      </c>
    </row>
    <row r="11" spans="1:23" ht="12.75" outlineLevel="2">
      <c r="A11" s="76" t="s">
        <v>26</v>
      </c>
      <c r="B11" s="127"/>
      <c r="C11" s="127"/>
      <c r="D11" s="127">
        <v>200</v>
      </c>
      <c r="E11" s="127">
        <v>300</v>
      </c>
      <c r="F11" s="127">
        <v>400</v>
      </c>
      <c r="G11" s="127">
        <v>500</v>
      </c>
      <c r="H11" s="72">
        <f t="shared" si="1"/>
        <v>1400</v>
      </c>
      <c r="I11" s="46">
        <v>500</v>
      </c>
      <c r="J11" s="75">
        <f t="shared" si="9"/>
        <v>550</v>
      </c>
      <c r="K11" s="75">
        <f t="shared" si="9"/>
        <v>605</v>
      </c>
      <c r="L11" s="75">
        <f t="shared" si="9"/>
        <v>665.5</v>
      </c>
      <c r="M11" s="75">
        <f t="shared" si="9"/>
        <v>732.0500000000001</v>
      </c>
      <c r="N11" s="75">
        <f t="shared" si="9"/>
        <v>805.2550000000001</v>
      </c>
      <c r="O11" s="75">
        <f t="shared" si="9"/>
        <v>885.7805000000002</v>
      </c>
      <c r="P11" s="75">
        <f t="shared" si="9"/>
        <v>974.3585500000003</v>
      </c>
      <c r="Q11" s="75">
        <f t="shared" si="9"/>
        <v>1071.7944050000003</v>
      </c>
      <c r="R11" s="75">
        <f t="shared" si="9"/>
        <v>1178.9738455000004</v>
      </c>
      <c r="S11" s="75">
        <f t="shared" si="9"/>
        <v>1296.8712300500006</v>
      </c>
      <c r="T11" s="75">
        <f t="shared" si="9"/>
        <v>1426.5583530550007</v>
      </c>
      <c r="U11" s="73">
        <f t="shared" si="3"/>
        <v>10692.141883605003</v>
      </c>
      <c r="V11" s="74">
        <f t="shared" si="4"/>
        <v>12092.141883605003</v>
      </c>
      <c r="W11" s="109">
        <f t="shared" si="7"/>
        <v>12092.141883605003</v>
      </c>
    </row>
    <row r="12" spans="1:23" ht="12.75" outlineLevel="1">
      <c r="A12" s="70" t="s">
        <v>27</v>
      </c>
      <c r="B12" s="71">
        <f aca="true" t="shared" si="10" ref="B12:G12">SUM(B13:B15)</f>
        <v>0</v>
      </c>
      <c r="C12" s="71">
        <f t="shared" si="10"/>
        <v>0</v>
      </c>
      <c r="D12" s="71">
        <f t="shared" si="10"/>
        <v>250</v>
      </c>
      <c r="E12" s="71">
        <f t="shared" si="10"/>
        <v>300</v>
      </c>
      <c r="F12" s="71">
        <f t="shared" si="10"/>
        <v>300</v>
      </c>
      <c r="G12" s="71">
        <f t="shared" si="10"/>
        <v>300</v>
      </c>
      <c r="H12" s="72">
        <f t="shared" si="1"/>
        <v>1150</v>
      </c>
      <c r="I12" s="63">
        <f aca="true" t="shared" si="11" ref="I12:T12">SUM(I13:I15)</f>
        <v>300</v>
      </c>
      <c r="J12" s="63">
        <f t="shared" si="11"/>
        <v>330</v>
      </c>
      <c r="K12" s="63">
        <f t="shared" si="11"/>
        <v>363.00000000000006</v>
      </c>
      <c r="L12" s="77">
        <f t="shared" si="11"/>
        <v>399.3000000000001</v>
      </c>
      <c r="M12" s="77">
        <f t="shared" si="11"/>
        <v>439.2300000000002</v>
      </c>
      <c r="N12" s="77">
        <f t="shared" si="11"/>
        <v>483.15300000000025</v>
      </c>
      <c r="O12" s="77">
        <f t="shared" si="11"/>
        <v>531.4683000000003</v>
      </c>
      <c r="P12" s="77">
        <f t="shared" si="11"/>
        <v>584.6151300000004</v>
      </c>
      <c r="Q12" s="77">
        <f t="shared" si="11"/>
        <v>643.0766430000004</v>
      </c>
      <c r="R12" s="77">
        <f t="shared" si="11"/>
        <v>707.3843073000005</v>
      </c>
      <c r="S12" s="77">
        <f t="shared" si="11"/>
        <v>778.1227380300006</v>
      </c>
      <c r="T12" s="77">
        <f t="shared" si="11"/>
        <v>855.9350118330008</v>
      </c>
      <c r="U12" s="73">
        <f t="shared" si="3"/>
        <v>6415.2851301630035</v>
      </c>
      <c r="V12" s="74">
        <f t="shared" si="4"/>
        <v>7565.2851301630035</v>
      </c>
      <c r="W12" s="109">
        <f t="shared" si="7"/>
        <v>7565.2851301630035</v>
      </c>
    </row>
    <row r="13" spans="1:23" ht="12.75" outlineLevel="2">
      <c r="A13" s="76" t="s">
        <v>28</v>
      </c>
      <c r="B13" s="127"/>
      <c r="C13" s="127"/>
      <c r="D13" s="127">
        <v>100</v>
      </c>
      <c r="E13" s="127">
        <v>150</v>
      </c>
      <c r="F13" s="127">
        <v>150</v>
      </c>
      <c r="G13" s="127">
        <v>150</v>
      </c>
      <c r="H13" s="72">
        <f t="shared" si="1"/>
        <v>550</v>
      </c>
      <c r="I13" s="127">
        <v>150</v>
      </c>
      <c r="J13" s="128">
        <f>I13*1.1</f>
        <v>165</v>
      </c>
      <c r="K13" s="128">
        <f aca="true" t="shared" si="12" ref="K13:R13">J13*1.1</f>
        <v>181.50000000000003</v>
      </c>
      <c r="L13" s="128">
        <f t="shared" si="12"/>
        <v>199.65000000000003</v>
      </c>
      <c r="M13" s="128">
        <f t="shared" si="12"/>
        <v>219.61500000000007</v>
      </c>
      <c r="N13" s="128">
        <f t="shared" si="12"/>
        <v>241.5765000000001</v>
      </c>
      <c r="O13" s="128">
        <f t="shared" si="12"/>
        <v>265.7341500000001</v>
      </c>
      <c r="P13" s="128">
        <f t="shared" si="12"/>
        <v>292.3075650000001</v>
      </c>
      <c r="Q13" s="128">
        <f t="shared" si="12"/>
        <v>321.53832150000017</v>
      </c>
      <c r="R13" s="128">
        <f t="shared" si="12"/>
        <v>353.6921536500002</v>
      </c>
      <c r="S13" s="128">
        <f>R13*1.1</f>
        <v>389.06136901500025</v>
      </c>
      <c r="T13" s="128">
        <f>S13*1.1</f>
        <v>427.96750591650033</v>
      </c>
      <c r="U13" s="73">
        <f t="shared" si="3"/>
        <v>3207.6425650815013</v>
      </c>
      <c r="V13" s="74">
        <f t="shared" si="4"/>
        <v>3757.6425650815013</v>
      </c>
      <c r="W13" s="109">
        <f t="shared" si="7"/>
        <v>3757.6425650815013</v>
      </c>
    </row>
    <row r="14" spans="1:23" ht="12.75" outlineLevel="2">
      <c r="A14" s="76" t="s">
        <v>29</v>
      </c>
      <c r="B14" s="127"/>
      <c r="C14" s="127"/>
      <c r="D14" s="127">
        <v>100</v>
      </c>
      <c r="E14" s="127">
        <v>100</v>
      </c>
      <c r="F14" s="127">
        <v>100</v>
      </c>
      <c r="G14" s="127">
        <v>100</v>
      </c>
      <c r="H14" s="72">
        <f t="shared" si="1"/>
        <v>400</v>
      </c>
      <c r="I14" s="127">
        <v>100</v>
      </c>
      <c r="J14" s="128">
        <f aca="true" t="shared" si="13" ref="J14:T15">I14*1.1</f>
        <v>110.00000000000001</v>
      </c>
      <c r="K14" s="128">
        <f t="shared" si="13"/>
        <v>121.00000000000003</v>
      </c>
      <c r="L14" s="128">
        <f t="shared" si="13"/>
        <v>133.10000000000005</v>
      </c>
      <c r="M14" s="128">
        <f t="shared" si="13"/>
        <v>146.41000000000008</v>
      </c>
      <c r="N14" s="128">
        <f t="shared" si="13"/>
        <v>161.0510000000001</v>
      </c>
      <c r="O14" s="128">
        <f t="shared" si="13"/>
        <v>177.15610000000012</v>
      </c>
      <c r="P14" s="128">
        <f t="shared" si="13"/>
        <v>194.87171000000015</v>
      </c>
      <c r="Q14" s="128">
        <f t="shared" si="13"/>
        <v>214.3588810000002</v>
      </c>
      <c r="R14" s="128">
        <f t="shared" si="13"/>
        <v>235.79476910000022</v>
      </c>
      <c r="S14" s="128">
        <f t="shared" si="13"/>
        <v>259.37424601000026</v>
      </c>
      <c r="T14" s="128">
        <f t="shared" si="13"/>
        <v>285.3116706110003</v>
      </c>
      <c r="U14" s="73">
        <f t="shared" si="3"/>
        <v>2138.4283767210013</v>
      </c>
      <c r="V14" s="74">
        <f t="shared" si="4"/>
        <v>2538.4283767210013</v>
      </c>
      <c r="W14" s="109">
        <f t="shared" si="7"/>
        <v>2538.4283767210013</v>
      </c>
    </row>
    <row r="15" spans="1:23" ht="12.75" outlineLevel="2">
      <c r="A15" s="76" t="s">
        <v>30</v>
      </c>
      <c r="B15" s="127"/>
      <c r="C15" s="127"/>
      <c r="D15" s="127">
        <v>50</v>
      </c>
      <c r="E15" s="127">
        <v>50</v>
      </c>
      <c r="F15" s="127">
        <v>50</v>
      </c>
      <c r="G15" s="127">
        <v>50</v>
      </c>
      <c r="H15" s="72">
        <f t="shared" si="1"/>
        <v>200</v>
      </c>
      <c r="I15" s="127">
        <v>50</v>
      </c>
      <c r="J15" s="128">
        <f t="shared" si="13"/>
        <v>55.00000000000001</v>
      </c>
      <c r="K15" s="128">
        <f t="shared" si="13"/>
        <v>60.500000000000014</v>
      </c>
      <c r="L15" s="128">
        <f t="shared" si="13"/>
        <v>66.55000000000003</v>
      </c>
      <c r="M15" s="128">
        <f t="shared" si="13"/>
        <v>73.20500000000004</v>
      </c>
      <c r="N15" s="128">
        <f t="shared" si="13"/>
        <v>80.52550000000005</v>
      </c>
      <c r="O15" s="128">
        <f t="shared" si="13"/>
        <v>88.57805000000006</v>
      </c>
      <c r="P15" s="128">
        <f t="shared" si="13"/>
        <v>97.43585500000007</v>
      </c>
      <c r="Q15" s="128">
        <f t="shared" si="13"/>
        <v>107.1794405000001</v>
      </c>
      <c r="R15" s="128">
        <f t="shared" si="13"/>
        <v>117.89738455000011</v>
      </c>
      <c r="S15" s="128">
        <f t="shared" si="13"/>
        <v>129.68712300500013</v>
      </c>
      <c r="T15" s="128">
        <f t="shared" si="13"/>
        <v>142.65583530550015</v>
      </c>
      <c r="U15" s="73">
        <f t="shared" si="3"/>
        <v>1069.2141883605007</v>
      </c>
      <c r="V15" s="74">
        <f t="shared" si="4"/>
        <v>1269.2141883605007</v>
      </c>
      <c r="W15" s="109">
        <f t="shared" si="7"/>
        <v>1269.2141883605007</v>
      </c>
    </row>
    <row r="16" spans="1:23" ht="12.75" customHeight="1" outlineLevel="1">
      <c r="A16" s="70" t="s">
        <v>31</v>
      </c>
      <c r="B16" s="129"/>
      <c r="C16" s="129"/>
      <c r="D16" s="129"/>
      <c r="E16" s="129">
        <v>50</v>
      </c>
      <c r="F16" s="129">
        <v>100</v>
      </c>
      <c r="G16" s="129">
        <v>200</v>
      </c>
      <c r="H16" s="131">
        <f t="shared" si="1"/>
        <v>350</v>
      </c>
      <c r="I16" s="130">
        <v>200</v>
      </c>
      <c r="J16" s="130">
        <v>200</v>
      </c>
      <c r="K16" s="130">
        <v>200</v>
      </c>
      <c r="L16" s="130">
        <v>200</v>
      </c>
      <c r="M16" s="130">
        <v>200</v>
      </c>
      <c r="N16" s="130">
        <v>200</v>
      </c>
      <c r="O16" s="130">
        <v>200</v>
      </c>
      <c r="P16" s="130">
        <v>200</v>
      </c>
      <c r="Q16" s="130">
        <v>200</v>
      </c>
      <c r="R16" s="130">
        <v>200</v>
      </c>
      <c r="S16" s="130">
        <v>200</v>
      </c>
      <c r="T16" s="130">
        <v>200</v>
      </c>
      <c r="U16" s="73">
        <f t="shared" si="3"/>
        <v>2400</v>
      </c>
      <c r="V16" s="74">
        <f t="shared" si="4"/>
        <v>2750</v>
      </c>
      <c r="W16" s="109">
        <f t="shared" si="7"/>
        <v>2750</v>
      </c>
    </row>
    <row r="17" spans="1:23" ht="12.75" outlineLevel="1">
      <c r="A17" s="78" t="s">
        <v>32</v>
      </c>
      <c r="B17" s="79">
        <f aca="true" t="shared" si="14" ref="B17:G17">SUM(B18:B20)</f>
        <v>0</v>
      </c>
      <c r="C17" s="79">
        <f t="shared" si="14"/>
        <v>0</v>
      </c>
      <c r="D17" s="79">
        <f t="shared" si="14"/>
        <v>0</v>
      </c>
      <c r="E17" s="79">
        <f t="shared" si="14"/>
        <v>0</v>
      </c>
      <c r="F17" s="79">
        <f t="shared" si="14"/>
        <v>150</v>
      </c>
      <c r="G17" s="79">
        <f t="shared" si="14"/>
        <v>300</v>
      </c>
      <c r="H17" s="72">
        <f t="shared" si="1"/>
        <v>450</v>
      </c>
      <c r="I17" s="79">
        <f aca="true" t="shared" si="15" ref="I17:T17">SUM(I18:I20)</f>
        <v>300</v>
      </c>
      <c r="J17" s="79">
        <f t="shared" si="15"/>
        <v>330.00000000000006</v>
      </c>
      <c r="K17" s="79">
        <f t="shared" si="15"/>
        <v>363.0000000000001</v>
      </c>
      <c r="L17" s="80">
        <f t="shared" si="15"/>
        <v>399.3000000000002</v>
      </c>
      <c r="M17" s="80">
        <f t="shared" si="15"/>
        <v>439.23000000000025</v>
      </c>
      <c r="N17" s="80">
        <f t="shared" si="15"/>
        <v>483.1530000000003</v>
      </c>
      <c r="O17" s="80">
        <f t="shared" si="15"/>
        <v>531.4683000000003</v>
      </c>
      <c r="P17" s="80">
        <f t="shared" si="15"/>
        <v>584.6151300000005</v>
      </c>
      <c r="Q17" s="80">
        <f t="shared" si="15"/>
        <v>643.0766430000006</v>
      </c>
      <c r="R17" s="80">
        <f t="shared" si="15"/>
        <v>707.3843073000007</v>
      </c>
      <c r="S17" s="80">
        <f t="shared" si="15"/>
        <v>778.1227380300008</v>
      </c>
      <c r="T17" s="80">
        <f t="shared" si="15"/>
        <v>855.9350118330009</v>
      </c>
      <c r="U17" s="73">
        <f t="shared" si="3"/>
        <v>6415.285130163005</v>
      </c>
      <c r="V17" s="74">
        <f t="shared" si="4"/>
        <v>6865.285130163005</v>
      </c>
      <c r="W17" s="109">
        <f t="shared" si="7"/>
        <v>6865.285130163005</v>
      </c>
    </row>
    <row r="18" spans="1:23" ht="12.75" outlineLevel="2">
      <c r="A18" s="76" t="s">
        <v>33</v>
      </c>
      <c r="B18" s="127"/>
      <c r="C18" s="127"/>
      <c r="D18" s="127"/>
      <c r="E18" s="127"/>
      <c r="F18" s="127">
        <v>50</v>
      </c>
      <c r="G18" s="127">
        <v>100</v>
      </c>
      <c r="H18" s="72">
        <f aca="true" t="shared" si="16" ref="H18:H32">SUM(B18:G18)</f>
        <v>150</v>
      </c>
      <c r="I18" s="127">
        <v>100</v>
      </c>
      <c r="J18" s="128">
        <f>I18*1.1</f>
        <v>110.00000000000001</v>
      </c>
      <c r="K18" s="128">
        <f aca="true" t="shared" si="17" ref="K18:T18">J18*1.1</f>
        <v>121.00000000000003</v>
      </c>
      <c r="L18" s="128">
        <f t="shared" si="17"/>
        <v>133.10000000000005</v>
      </c>
      <c r="M18" s="128">
        <f t="shared" si="17"/>
        <v>146.41000000000008</v>
      </c>
      <c r="N18" s="128">
        <f t="shared" si="17"/>
        <v>161.0510000000001</v>
      </c>
      <c r="O18" s="128">
        <f t="shared" si="17"/>
        <v>177.15610000000012</v>
      </c>
      <c r="P18" s="128">
        <f>O18*1.1</f>
        <v>194.87171000000015</v>
      </c>
      <c r="Q18" s="128">
        <f t="shared" si="17"/>
        <v>214.3588810000002</v>
      </c>
      <c r="R18" s="128">
        <f t="shared" si="17"/>
        <v>235.79476910000022</v>
      </c>
      <c r="S18" s="128">
        <f t="shared" si="17"/>
        <v>259.37424601000026</v>
      </c>
      <c r="T18" s="128">
        <f t="shared" si="17"/>
        <v>285.3116706110003</v>
      </c>
      <c r="U18" s="73">
        <f aca="true" t="shared" si="18" ref="U18:U32">SUM(I18:T18)</f>
        <v>2138.4283767210013</v>
      </c>
      <c r="V18" s="74">
        <f aca="true" t="shared" si="19" ref="V18:V32">SUM(H18,U18)</f>
        <v>2288.4283767210013</v>
      </c>
      <c r="W18" s="109">
        <f t="shared" si="7"/>
        <v>2288.4283767210013</v>
      </c>
    </row>
    <row r="19" spans="1:23" ht="12.75" outlineLevel="2">
      <c r="A19" s="76" t="s">
        <v>34</v>
      </c>
      <c r="B19" s="127"/>
      <c r="C19" s="127"/>
      <c r="D19" s="127"/>
      <c r="E19" s="127"/>
      <c r="F19" s="127">
        <v>50</v>
      </c>
      <c r="G19" s="127">
        <v>100</v>
      </c>
      <c r="H19" s="72">
        <f t="shared" si="16"/>
        <v>150</v>
      </c>
      <c r="I19" s="127">
        <v>100</v>
      </c>
      <c r="J19" s="128">
        <f aca="true" t="shared" si="20" ref="J19:T20">I19*1.1</f>
        <v>110.00000000000001</v>
      </c>
      <c r="K19" s="128">
        <f t="shared" si="20"/>
        <v>121.00000000000003</v>
      </c>
      <c r="L19" s="128">
        <f t="shared" si="20"/>
        <v>133.10000000000005</v>
      </c>
      <c r="M19" s="128">
        <f t="shared" si="20"/>
        <v>146.41000000000008</v>
      </c>
      <c r="N19" s="128">
        <f t="shared" si="20"/>
        <v>161.0510000000001</v>
      </c>
      <c r="O19" s="128">
        <f t="shared" si="20"/>
        <v>177.15610000000012</v>
      </c>
      <c r="P19" s="128">
        <f t="shared" si="20"/>
        <v>194.87171000000015</v>
      </c>
      <c r="Q19" s="128">
        <f t="shared" si="20"/>
        <v>214.3588810000002</v>
      </c>
      <c r="R19" s="128">
        <f t="shared" si="20"/>
        <v>235.79476910000022</v>
      </c>
      <c r="S19" s="128">
        <f t="shared" si="20"/>
        <v>259.37424601000026</v>
      </c>
      <c r="T19" s="128">
        <f t="shared" si="20"/>
        <v>285.3116706110003</v>
      </c>
      <c r="U19" s="73">
        <f t="shared" si="18"/>
        <v>2138.4283767210013</v>
      </c>
      <c r="V19" s="74">
        <f t="shared" si="19"/>
        <v>2288.4283767210013</v>
      </c>
      <c r="W19" s="109">
        <f t="shared" si="7"/>
        <v>2288.4283767210013</v>
      </c>
    </row>
    <row r="20" spans="1:23" ht="12.75" outlineLevel="2">
      <c r="A20" s="76" t="s">
        <v>35</v>
      </c>
      <c r="B20" s="127"/>
      <c r="C20" s="127"/>
      <c r="D20" s="127"/>
      <c r="E20" s="127"/>
      <c r="F20" s="127">
        <v>50</v>
      </c>
      <c r="G20" s="127">
        <v>100</v>
      </c>
      <c r="H20" s="72">
        <f t="shared" si="16"/>
        <v>150</v>
      </c>
      <c r="I20" s="127">
        <v>100</v>
      </c>
      <c r="J20" s="128">
        <f t="shared" si="20"/>
        <v>110.00000000000001</v>
      </c>
      <c r="K20" s="128">
        <f t="shared" si="20"/>
        <v>121.00000000000003</v>
      </c>
      <c r="L20" s="128">
        <f t="shared" si="20"/>
        <v>133.10000000000005</v>
      </c>
      <c r="M20" s="128">
        <f t="shared" si="20"/>
        <v>146.41000000000008</v>
      </c>
      <c r="N20" s="128">
        <f t="shared" si="20"/>
        <v>161.0510000000001</v>
      </c>
      <c r="O20" s="128">
        <f t="shared" si="20"/>
        <v>177.15610000000012</v>
      </c>
      <c r="P20" s="128">
        <f t="shared" si="20"/>
        <v>194.87171000000015</v>
      </c>
      <c r="Q20" s="128">
        <f t="shared" si="20"/>
        <v>214.3588810000002</v>
      </c>
      <c r="R20" s="128">
        <f t="shared" si="20"/>
        <v>235.79476910000022</v>
      </c>
      <c r="S20" s="128">
        <f t="shared" si="20"/>
        <v>259.37424601000026</v>
      </c>
      <c r="T20" s="128">
        <f t="shared" si="20"/>
        <v>285.3116706110003</v>
      </c>
      <c r="U20" s="73">
        <f t="shared" si="18"/>
        <v>2138.4283767210013</v>
      </c>
      <c r="V20" s="74">
        <f t="shared" si="19"/>
        <v>2288.4283767210013</v>
      </c>
      <c r="W20" s="109">
        <f t="shared" si="7"/>
        <v>2288.4283767210013</v>
      </c>
    </row>
    <row r="21" spans="1:23" ht="12.75" outlineLevel="1">
      <c r="A21" s="70" t="s">
        <v>36</v>
      </c>
      <c r="B21" s="71">
        <f aca="true" t="shared" si="21" ref="B21:G21">SUM(B22:B24)</f>
        <v>0</v>
      </c>
      <c r="C21" s="71">
        <f t="shared" si="21"/>
        <v>0</v>
      </c>
      <c r="D21" s="71">
        <f t="shared" si="21"/>
        <v>0</v>
      </c>
      <c r="E21" s="71">
        <f t="shared" si="21"/>
        <v>1000</v>
      </c>
      <c r="F21" s="71">
        <f t="shared" si="21"/>
        <v>2550</v>
      </c>
      <c r="G21" s="71">
        <f t="shared" si="21"/>
        <v>2600</v>
      </c>
      <c r="H21" s="72">
        <f t="shared" si="16"/>
        <v>6150</v>
      </c>
      <c r="I21" s="63">
        <f aca="true" t="shared" si="22" ref="I21:T21">SUM(I22:I24)</f>
        <v>3600</v>
      </c>
      <c r="J21" s="63">
        <f t="shared" si="22"/>
        <v>3600</v>
      </c>
      <c r="K21" s="63">
        <f t="shared" si="22"/>
        <v>3600</v>
      </c>
      <c r="L21" s="63">
        <f t="shared" si="22"/>
        <v>4600</v>
      </c>
      <c r="M21" s="63">
        <f t="shared" si="22"/>
        <v>4600</v>
      </c>
      <c r="N21" s="63">
        <f t="shared" si="22"/>
        <v>5600</v>
      </c>
      <c r="O21" s="63">
        <f t="shared" si="22"/>
        <v>5950</v>
      </c>
      <c r="P21" s="63">
        <f t="shared" si="22"/>
        <v>5950</v>
      </c>
      <c r="Q21" s="63">
        <f t="shared" si="22"/>
        <v>8500</v>
      </c>
      <c r="R21" s="63">
        <f t="shared" si="22"/>
        <v>8500</v>
      </c>
      <c r="S21" s="63">
        <f t="shared" si="22"/>
        <v>8800</v>
      </c>
      <c r="T21" s="63">
        <f t="shared" si="22"/>
        <v>8800</v>
      </c>
      <c r="U21" s="73">
        <f t="shared" si="18"/>
        <v>72100</v>
      </c>
      <c r="V21" s="74">
        <f t="shared" si="19"/>
        <v>78250</v>
      </c>
      <c r="W21" s="109">
        <f t="shared" si="7"/>
        <v>78250</v>
      </c>
    </row>
    <row r="22" spans="1:23" ht="25.5" outlineLevel="1">
      <c r="A22" s="76" t="s">
        <v>37</v>
      </c>
      <c r="B22" s="127"/>
      <c r="C22" s="127"/>
      <c r="D22" s="127"/>
      <c r="E22" s="127">
        <v>1000</v>
      </c>
      <c r="F22" s="127">
        <v>2000</v>
      </c>
      <c r="G22" s="127">
        <v>2000</v>
      </c>
      <c r="H22" s="72">
        <f t="shared" si="16"/>
        <v>5000</v>
      </c>
      <c r="I22" s="132">
        <v>3000</v>
      </c>
      <c r="J22" s="132">
        <v>3000</v>
      </c>
      <c r="K22" s="132">
        <v>3000</v>
      </c>
      <c r="L22" s="132">
        <v>4000</v>
      </c>
      <c r="M22" s="132">
        <v>4000</v>
      </c>
      <c r="N22" s="132">
        <v>5000</v>
      </c>
      <c r="O22" s="132">
        <v>5000</v>
      </c>
      <c r="P22" s="132">
        <v>5000</v>
      </c>
      <c r="Q22" s="132">
        <v>7000</v>
      </c>
      <c r="R22" s="132">
        <v>7000</v>
      </c>
      <c r="S22" s="132">
        <v>7000</v>
      </c>
      <c r="T22" s="132">
        <v>7000</v>
      </c>
      <c r="U22" s="73">
        <f t="shared" si="18"/>
        <v>60000</v>
      </c>
      <c r="V22" s="74">
        <f t="shared" si="19"/>
        <v>65000</v>
      </c>
      <c r="W22" s="109">
        <f t="shared" si="7"/>
        <v>65000</v>
      </c>
    </row>
    <row r="23" spans="1:23" ht="25.5" outlineLevel="1">
      <c r="A23" s="76" t="s">
        <v>38</v>
      </c>
      <c r="B23" s="127"/>
      <c r="C23" s="127"/>
      <c r="D23" s="127"/>
      <c r="E23" s="127"/>
      <c r="F23" s="127">
        <v>500</v>
      </c>
      <c r="G23" s="127">
        <v>500</v>
      </c>
      <c r="H23" s="72">
        <f t="shared" si="16"/>
        <v>1000</v>
      </c>
      <c r="I23" s="132">
        <v>500</v>
      </c>
      <c r="J23" s="132">
        <v>500</v>
      </c>
      <c r="K23" s="132">
        <v>500</v>
      </c>
      <c r="L23" s="132">
        <v>500</v>
      </c>
      <c r="M23" s="132">
        <v>500</v>
      </c>
      <c r="N23" s="132">
        <v>500</v>
      </c>
      <c r="O23" s="132">
        <v>750</v>
      </c>
      <c r="P23" s="132">
        <v>750</v>
      </c>
      <c r="Q23" s="132">
        <v>1250</v>
      </c>
      <c r="R23" s="132">
        <v>1250</v>
      </c>
      <c r="S23" s="132">
        <v>1500</v>
      </c>
      <c r="T23" s="132">
        <v>1500</v>
      </c>
      <c r="U23" s="73">
        <f t="shared" si="18"/>
        <v>10000</v>
      </c>
      <c r="V23" s="74">
        <f t="shared" si="19"/>
        <v>11000</v>
      </c>
      <c r="W23" s="109">
        <f t="shared" si="7"/>
        <v>11000</v>
      </c>
    </row>
    <row r="24" spans="1:23" ht="25.5" outlineLevel="1">
      <c r="A24" s="76" t="s">
        <v>39</v>
      </c>
      <c r="B24" s="127"/>
      <c r="C24" s="127"/>
      <c r="D24" s="127"/>
      <c r="E24" s="127"/>
      <c r="F24" s="127">
        <v>50</v>
      </c>
      <c r="G24" s="127">
        <v>100</v>
      </c>
      <c r="H24" s="72">
        <f t="shared" si="16"/>
        <v>150</v>
      </c>
      <c r="I24" s="132">
        <v>100</v>
      </c>
      <c r="J24" s="132">
        <v>100</v>
      </c>
      <c r="K24" s="132">
        <v>100</v>
      </c>
      <c r="L24" s="132">
        <v>100</v>
      </c>
      <c r="M24" s="132">
        <v>100</v>
      </c>
      <c r="N24" s="132">
        <v>100</v>
      </c>
      <c r="O24" s="132">
        <v>200</v>
      </c>
      <c r="P24" s="132">
        <v>200</v>
      </c>
      <c r="Q24" s="132">
        <v>250</v>
      </c>
      <c r="R24" s="132">
        <v>250</v>
      </c>
      <c r="S24" s="132">
        <v>300</v>
      </c>
      <c r="T24" s="132">
        <v>300</v>
      </c>
      <c r="U24" s="73">
        <f t="shared" si="18"/>
        <v>2100</v>
      </c>
      <c r="V24" s="74">
        <f t="shared" si="19"/>
        <v>2250</v>
      </c>
      <c r="W24" s="109">
        <f t="shared" si="7"/>
        <v>2250</v>
      </c>
    </row>
    <row r="25" spans="1:23" ht="12.75">
      <c r="A25" s="81" t="s">
        <v>40</v>
      </c>
      <c r="B25" s="82">
        <f aca="true" t="shared" si="23" ref="B25:G25">SUM(B26:B28)</f>
        <v>0</v>
      </c>
      <c r="C25" s="82">
        <f t="shared" si="23"/>
        <v>0</v>
      </c>
      <c r="D25" s="82">
        <f t="shared" si="23"/>
        <v>0</v>
      </c>
      <c r="E25" s="82">
        <f t="shared" si="23"/>
        <v>0</v>
      </c>
      <c r="F25" s="82">
        <f t="shared" si="23"/>
        <v>0</v>
      </c>
      <c r="G25" s="82">
        <f t="shared" si="23"/>
        <v>0</v>
      </c>
      <c r="H25" s="72">
        <f t="shared" si="16"/>
        <v>0</v>
      </c>
      <c r="I25" s="82">
        <f aca="true" t="shared" si="24" ref="I25:T25">SUM(I26:I28)</f>
        <v>1000</v>
      </c>
      <c r="J25" s="82">
        <f t="shared" si="24"/>
        <v>2000</v>
      </c>
      <c r="K25" s="82">
        <f t="shared" si="24"/>
        <v>2000</v>
      </c>
      <c r="L25" s="82">
        <f t="shared" si="24"/>
        <v>2000</v>
      </c>
      <c r="M25" s="83">
        <f t="shared" si="24"/>
        <v>2000</v>
      </c>
      <c r="N25" s="83">
        <f t="shared" si="24"/>
        <v>2000</v>
      </c>
      <c r="O25" s="83">
        <f t="shared" si="24"/>
        <v>2000</v>
      </c>
      <c r="P25" s="83">
        <f t="shared" si="24"/>
        <v>2000</v>
      </c>
      <c r="Q25" s="83">
        <f t="shared" si="24"/>
        <v>2000</v>
      </c>
      <c r="R25" s="83">
        <f t="shared" si="24"/>
        <v>2000</v>
      </c>
      <c r="S25" s="83">
        <f t="shared" si="24"/>
        <v>2000</v>
      </c>
      <c r="T25" s="83">
        <f t="shared" si="24"/>
        <v>2000</v>
      </c>
      <c r="U25" s="84">
        <f t="shared" si="18"/>
        <v>23000</v>
      </c>
      <c r="V25" s="85">
        <f t="shared" si="19"/>
        <v>23000</v>
      </c>
      <c r="W25" s="110">
        <f>SUM(W26:W28)</f>
        <v>23000</v>
      </c>
    </row>
    <row r="26" spans="1:23" ht="12.75" outlineLevel="1">
      <c r="A26" s="76" t="s">
        <v>41</v>
      </c>
      <c r="B26" s="46"/>
      <c r="C26" s="46"/>
      <c r="D26" s="46"/>
      <c r="E26" s="46"/>
      <c r="F26" s="46"/>
      <c r="G26" s="46"/>
      <c r="H26" s="72">
        <f t="shared" si="16"/>
        <v>0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84">
        <f t="shared" si="18"/>
        <v>0</v>
      </c>
      <c r="V26" s="85">
        <f t="shared" si="19"/>
        <v>0</v>
      </c>
      <c r="W26" s="109">
        <f>V26</f>
        <v>0</v>
      </c>
    </row>
    <row r="27" spans="1:23" ht="38.25" outlineLevel="1">
      <c r="A27" s="76" t="s">
        <v>42</v>
      </c>
      <c r="B27" s="127"/>
      <c r="C27" s="127"/>
      <c r="D27" s="127"/>
      <c r="E27" s="127"/>
      <c r="F27" s="127"/>
      <c r="G27" s="127"/>
      <c r="H27" s="72">
        <f t="shared" si="16"/>
        <v>0</v>
      </c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84">
        <f t="shared" si="18"/>
        <v>0</v>
      </c>
      <c r="V27" s="85">
        <f t="shared" si="19"/>
        <v>0</v>
      </c>
      <c r="W27" s="109">
        <f>V27</f>
        <v>0</v>
      </c>
    </row>
    <row r="28" spans="1:23" ht="12.75">
      <c r="A28" s="95" t="s">
        <v>43</v>
      </c>
      <c r="B28" s="133"/>
      <c r="C28" s="133"/>
      <c r="D28" s="133"/>
      <c r="E28" s="133"/>
      <c r="F28" s="133"/>
      <c r="G28" s="133"/>
      <c r="H28" s="72"/>
      <c r="I28" s="133">
        <v>1000</v>
      </c>
      <c r="J28" s="133">
        <v>2000</v>
      </c>
      <c r="K28" s="133">
        <v>2000</v>
      </c>
      <c r="L28" s="133">
        <v>2000</v>
      </c>
      <c r="M28" s="133">
        <v>2000</v>
      </c>
      <c r="N28" s="133">
        <v>2000</v>
      </c>
      <c r="O28" s="133">
        <v>2000</v>
      </c>
      <c r="P28" s="133">
        <v>2000</v>
      </c>
      <c r="Q28" s="133">
        <v>2000</v>
      </c>
      <c r="R28" s="133">
        <v>2000</v>
      </c>
      <c r="S28" s="133">
        <v>2000</v>
      </c>
      <c r="T28" s="133">
        <v>2000</v>
      </c>
      <c r="U28" s="84">
        <f t="shared" si="18"/>
        <v>23000</v>
      </c>
      <c r="V28" s="85">
        <f t="shared" si="19"/>
        <v>23000</v>
      </c>
      <c r="W28" s="115">
        <f>V28</f>
        <v>23000</v>
      </c>
    </row>
    <row r="29" spans="1:23" ht="12.75">
      <c r="A29" s="87" t="s">
        <v>44</v>
      </c>
      <c r="B29" s="86">
        <f>B2+B25</f>
        <v>0</v>
      </c>
      <c r="C29" s="86">
        <f aca="true" t="shared" si="25" ref="C29:R29">C2+C25</f>
        <v>0</v>
      </c>
      <c r="D29" s="86">
        <f t="shared" si="25"/>
        <v>1000</v>
      </c>
      <c r="E29" s="86">
        <f t="shared" si="25"/>
        <v>2700</v>
      </c>
      <c r="F29" s="86">
        <f t="shared" si="25"/>
        <v>4875</v>
      </c>
      <c r="G29" s="86">
        <f t="shared" si="25"/>
        <v>5550</v>
      </c>
      <c r="H29" s="72">
        <f t="shared" si="16"/>
        <v>14125</v>
      </c>
      <c r="I29" s="86">
        <f t="shared" si="25"/>
        <v>8550</v>
      </c>
      <c r="J29" s="86">
        <f t="shared" si="25"/>
        <v>10825</v>
      </c>
      <c r="K29" s="86">
        <f t="shared" si="25"/>
        <v>11127.5</v>
      </c>
      <c r="L29" s="86">
        <f t="shared" si="25"/>
        <v>12460.25</v>
      </c>
      <c r="M29" s="86">
        <f t="shared" si="25"/>
        <v>12826.275000000001</v>
      </c>
      <c r="N29" s="86">
        <f t="shared" si="25"/>
        <v>14228.902500000002</v>
      </c>
      <c r="O29" s="86">
        <f t="shared" si="25"/>
        <v>15021.792750000004</v>
      </c>
      <c r="P29" s="86">
        <f t="shared" si="25"/>
        <v>15508.972025000003</v>
      </c>
      <c r="Q29" s="86">
        <f t="shared" si="25"/>
        <v>18594.869227500003</v>
      </c>
      <c r="R29" s="86">
        <f t="shared" si="25"/>
        <v>19184.356150250005</v>
      </c>
      <c r="S29" s="86">
        <f>S2+S25</f>
        <v>20132.791765275004</v>
      </c>
      <c r="T29" s="86">
        <f>T2+T25</f>
        <v>20846.070941802507</v>
      </c>
      <c r="U29" s="84">
        <f t="shared" si="18"/>
        <v>179306.7803598275</v>
      </c>
      <c r="V29" s="85">
        <f t="shared" si="19"/>
        <v>193431.7803598275</v>
      </c>
      <c r="W29" s="111">
        <f>W2+W25</f>
        <v>193431.78035982753</v>
      </c>
    </row>
    <row r="30" spans="1:23" ht="12.75">
      <c r="A30" s="87" t="s">
        <v>45</v>
      </c>
      <c r="B30" s="46">
        <f>(B2+B25)*0.2</f>
        <v>0</v>
      </c>
      <c r="C30" s="46">
        <f aca="true" t="shared" si="26" ref="C30:R30">(C2+C25)*0.2</f>
        <v>0</v>
      </c>
      <c r="D30" s="46">
        <f t="shared" si="26"/>
        <v>200</v>
      </c>
      <c r="E30" s="46">
        <f t="shared" si="26"/>
        <v>540</v>
      </c>
      <c r="F30" s="46">
        <f t="shared" si="26"/>
        <v>975</v>
      </c>
      <c r="G30" s="46">
        <f t="shared" si="26"/>
        <v>1110</v>
      </c>
      <c r="H30" s="72">
        <f t="shared" si="16"/>
        <v>2825</v>
      </c>
      <c r="I30" s="88">
        <f t="shared" si="26"/>
        <v>1710</v>
      </c>
      <c r="J30" s="88">
        <f t="shared" si="26"/>
        <v>2165</v>
      </c>
      <c r="K30" s="88">
        <f t="shared" si="26"/>
        <v>2225.5</v>
      </c>
      <c r="L30" s="88">
        <f t="shared" si="26"/>
        <v>2492.05</v>
      </c>
      <c r="M30" s="88">
        <f t="shared" si="26"/>
        <v>2565.2550000000006</v>
      </c>
      <c r="N30" s="88">
        <f t="shared" si="26"/>
        <v>2845.7805000000008</v>
      </c>
      <c r="O30" s="88">
        <f t="shared" si="26"/>
        <v>3004.358550000001</v>
      </c>
      <c r="P30" s="88">
        <f t="shared" si="26"/>
        <v>3101.7944050000006</v>
      </c>
      <c r="Q30" s="88">
        <f t="shared" si="26"/>
        <v>3718.9738455000006</v>
      </c>
      <c r="R30" s="88">
        <f t="shared" si="26"/>
        <v>3836.871230050001</v>
      </c>
      <c r="S30" s="88">
        <f>(S2+S25)*0.2</f>
        <v>4026.558353055001</v>
      </c>
      <c r="T30" s="88">
        <f>(T2+T25)*0.2</f>
        <v>4169.214188360502</v>
      </c>
      <c r="U30" s="97">
        <f t="shared" si="18"/>
        <v>35861.35607196551</v>
      </c>
      <c r="V30" s="98">
        <f t="shared" si="19"/>
        <v>38686.35607196551</v>
      </c>
      <c r="W30" s="112">
        <f>(W2+W25)*0.2*$W$76/100</f>
        <v>9671.589017991377</v>
      </c>
    </row>
    <row r="31" spans="1:23" ht="12.75">
      <c r="A31" s="81" t="s">
        <v>46</v>
      </c>
      <c r="B31" s="101">
        <f>B29-B30</f>
        <v>0</v>
      </c>
      <c r="C31" s="101">
        <f aca="true" t="shared" si="27" ref="C31:R31">C29-C30</f>
        <v>0</v>
      </c>
      <c r="D31" s="101">
        <f t="shared" si="27"/>
        <v>800</v>
      </c>
      <c r="E31" s="101">
        <f t="shared" si="27"/>
        <v>2160</v>
      </c>
      <c r="F31" s="101">
        <f t="shared" si="27"/>
        <v>3900</v>
      </c>
      <c r="G31" s="101">
        <f t="shared" si="27"/>
        <v>4440</v>
      </c>
      <c r="H31" s="72">
        <f t="shared" si="16"/>
        <v>11300</v>
      </c>
      <c r="I31" s="101">
        <f t="shared" si="27"/>
        <v>6840</v>
      </c>
      <c r="J31" s="101">
        <f t="shared" si="27"/>
        <v>8660</v>
      </c>
      <c r="K31" s="101">
        <f t="shared" si="27"/>
        <v>8902</v>
      </c>
      <c r="L31" s="101">
        <f t="shared" si="27"/>
        <v>9968.2</v>
      </c>
      <c r="M31" s="101">
        <f t="shared" si="27"/>
        <v>10261.02</v>
      </c>
      <c r="N31" s="101">
        <f t="shared" si="27"/>
        <v>11383.122000000001</v>
      </c>
      <c r="O31" s="101">
        <f t="shared" si="27"/>
        <v>12017.434200000003</v>
      </c>
      <c r="P31" s="101">
        <f t="shared" si="27"/>
        <v>12407.177620000002</v>
      </c>
      <c r="Q31" s="101">
        <f t="shared" si="27"/>
        <v>14875.895382000002</v>
      </c>
      <c r="R31" s="101">
        <f t="shared" si="27"/>
        <v>15347.484920200004</v>
      </c>
      <c r="S31" s="101">
        <f>S29-S30</f>
        <v>16106.233412220003</v>
      </c>
      <c r="T31" s="101">
        <f>T29-T30</f>
        <v>16676.856753442007</v>
      </c>
      <c r="U31" s="84">
        <f t="shared" si="18"/>
        <v>143445.42428786203</v>
      </c>
      <c r="V31" s="85">
        <f t="shared" si="19"/>
        <v>154745.42428786203</v>
      </c>
      <c r="W31" s="111">
        <f>W29-W30</f>
        <v>183760.19134183615</v>
      </c>
    </row>
    <row r="32" spans="1:23" ht="12.75">
      <c r="A32" s="117" t="s">
        <v>47</v>
      </c>
      <c r="B32" s="152">
        <f>B30-B55</f>
        <v>-252.66666666666666</v>
      </c>
      <c r="C32" s="152">
        <f aca="true" t="shared" si="28" ref="C32:R32">C30-C55</f>
        <v>-256.66666666666663</v>
      </c>
      <c r="D32" s="152">
        <f t="shared" si="28"/>
        <v>-76.66666666666663</v>
      </c>
      <c r="E32" s="152">
        <f t="shared" si="28"/>
        <v>243.33333333333337</v>
      </c>
      <c r="F32" s="152">
        <f t="shared" si="28"/>
        <v>658.3333333333334</v>
      </c>
      <c r="G32" s="152">
        <f t="shared" si="28"/>
        <v>793.3333333333334</v>
      </c>
      <c r="H32" s="69">
        <f t="shared" si="16"/>
        <v>1109.0000000000002</v>
      </c>
      <c r="I32" s="152">
        <f t="shared" si="28"/>
        <v>1113.3333333333335</v>
      </c>
      <c r="J32" s="152">
        <f t="shared" si="28"/>
        <v>1568.3333333333335</v>
      </c>
      <c r="K32" s="152">
        <f t="shared" si="28"/>
        <v>1628.8333333333335</v>
      </c>
      <c r="L32" s="152">
        <f t="shared" si="28"/>
        <v>1895.3833333333334</v>
      </c>
      <c r="M32" s="152">
        <f t="shared" si="28"/>
        <v>1968.5883333333338</v>
      </c>
      <c r="N32" s="152">
        <f t="shared" si="28"/>
        <v>2249.1138333333342</v>
      </c>
      <c r="O32" s="152">
        <f t="shared" si="28"/>
        <v>2407.6918833333343</v>
      </c>
      <c r="P32" s="152">
        <f t="shared" si="28"/>
        <v>2505.127738333334</v>
      </c>
      <c r="Q32" s="152">
        <f t="shared" si="28"/>
        <v>3122.307178833334</v>
      </c>
      <c r="R32" s="152">
        <f t="shared" si="28"/>
        <v>3240.2045633833345</v>
      </c>
      <c r="S32" s="152">
        <f>S30-S55</f>
        <v>3429.8916863883346</v>
      </c>
      <c r="T32" s="152">
        <f>T30-T55</f>
        <v>3572.5475216938353</v>
      </c>
      <c r="U32" s="84">
        <f t="shared" si="18"/>
        <v>28701.356071965507</v>
      </c>
      <c r="V32" s="85">
        <f t="shared" si="19"/>
        <v>29810.356071965507</v>
      </c>
      <c r="W32" s="121">
        <f>W30-W55</f>
        <v>795.5890179913749</v>
      </c>
    </row>
    <row r="33" spans="1:23" ht="25.5" customHeight="1">
      <c r="A33" s="81" t="s">
        <v>48</v>
      </c>
      <c r="B33" s="89">
        <f>B34+B45+B50+B51+B52+B53+B54</f>
        <v>1763.3333333333333</v>
      </c>
      <c r="C33" s="89">
        <f aca="true" t="shared" si="29" ref="C33:R33">C34+C45+C50+C51+C52+C53+C54</f>
        <v>2483.333333333333</v>
      </c>
      <c r="D33" s="89">
        <f t="shared" si="29"/>
        <v>3083.333333333333</v>
      </c>
      <c r="E33" s="89">
        <f t="shared" si="29"/>
        <v>3553.333333333333</v>
      </c>
      <c r="F33" s="89">
        <f t="shared" si="29"/>
        <v>3870.833333333333</v>
      </c>
      <c r="G33" s="89">
        <f t="shared" si="29"/>
        <v>3938.333333333333</v>
      </c>
      <c r="H33" s="69">
        <f aca="true" t="shared" si="30" ref="H33:H48">SUM(B33:G33)</f>
        <v>18692.499999999996</v>
      </c>
      <c r="I33" s="89">
        <f t="shared" si="29"/>
        <v>5938.333333333333</v>
      </c>
      <c r="J33" s="89">
        <f t="shared" si="29"/>
        <v>6065.833333333333</v>
      </c>
      <c r="K33" s="89">
        <f t="shared" si="29"/>
        <v>6096.083333333333</v>
      </c>
      <c r="L33" s="89">
        <f t="shared" si="29"/>
        <v>6229.358333333334</v>
      </c>
      <c r="M33" s="89">
        <f t="shared" si="29"/>
        <v>6265.9608333333335</v>
      </c>
      <c r="N33" s="89">
        <f t="shared" si="29"/>
        <v>6406.223583333333</v>
      </c>
      <c r="O33" s="89">
        <f t="shared" si="29"/>
        <v>7385.512608333333</v>
      </c>
      <c r="P33" s="89">
        <f t="shared" si="29"/>
        <v>7434.230535833333</v>
      </c>
      <c r="Q33" s="89">
        <f t="shared" si="29"/>
        <v>7742.820256083333</v>
      </c>
      <c r="R33" s="89">
        <f t="shared" si="29"/>
        <v>7801.768948358334</v>
      </c>
      <c r="S33" s="89">
        <f>S34+S45+S50+S51+S52+S53+S54</f>
        <v>7896.612509860834</v>
      </c>
      <c r="T33" s="89">
        <f>T34+T45+T50+T51+T52+T53+T54</f>
        <v>7967.940427513584</v>
      </c>
      <c r="U33" s="84">
        <f aca="true" t="shared" si="31" ref="U33:U48">SUM(I33:T33)</f>
        <v>83230.67803598275</v>
      </c>
      <c r="V33" s="85">
        <f aca="true" t="shared" si="32" ref="V33:V48">SUM(H33,U33)</f>
        <v>101923.17803598275</v>
      </c>
      <c r="W33" s="113">
        <f>W34+W45+W50+W51+W52+W53+W54</f>
        <v>101923.17803598277</v>
      </c>
    </row>
    <row r="34" spans="1:23" ht="12" customHeight="1">
      <c r="A34" s="90" t="s">
        <v>49</v>
      </c>
      <c r="B34" s="102">
        <f>SUM(B35:B44)</f>
        <v>500</v>
      </c>
      <c r="C34" s="102">
        <f aca="true" t="shared" si="33" ref="C34:R34">SUM(C35:C44)</f>
        <v>1200</v>
      </c>
      <c r="D34" s="102">
        <f t="shared" si="33"/>
        <v>1700</v>
      </c>
      <c r="E34" s="102">
        <f t="shared" si="33"/>
        <v>2070</v>
      </c>
      <c r="F34" s="102">
        <f t="shared" si="33"/>
        <v>2287.5</v>
      </c>
      <c r="G34" s="102">
        <f t="shared" si="33"/>
        <v>2355</v>
      </c>
      <c r="H34" s="72">
        <f t="shared" si="30"/>
        <v>10112.5</v>
      </c>
      <c r="I34" s="102">
        <f t="shared" si="33"/>
        <v>2955</v>
      </c>
      <c r="J34" s="103">
        <f t="shared" si="33"/>
        <v>3082.5</v>
      </c>
      <c r="K34" s="103">
        <f t="shared" si="33"/>
        <v>3112.75</v>
      </c>
      <c r="L34" s="103">
        <f t="shared" si="33"/>
        <v>3246.025</v>
      </c>
      <c r="M34" s="103">
        <f t="shared" si="33"/>
        <v>3282.6275</v>
      </c>
      <c r="N34" s="103">
        <f t="shared" si="33"/>
        <v>3422.8902500000004</v>
      </c>
      <c r="O34" s="103">
        <f t="shared" si="33"/>
        <v>4402.179275</v>
      </c>
      <c r="P34" s="103">
        <f t="shared" si="33"/>
        <v>4450.8972025</v>
      </c>
      <c r="Q34" s="103">
        <f t="shared" si="33"/>
        <v>4759.48692275</v>
      </c>
      <c r="R34" s="103">
        <f t="shared" si="33"/>
        <v>4818.4356150250005</v>
      </c>
      <c r="S34" s="103">
        <f>SUM(S35:S44)</f>
        <v>4913.279176527501</v>
      </c>
      <c r="T34" s="103">
        <f>SUM(T35:T44)</f>
        <v>4984.607094180251</v>
      </c>
      <c r="U34" s="73">
        <f t="shared" si="31"/>
        <v>47430.67803598276</v>
      </c>
      <c r="V34" s="74">
        <f t="shared" si="32"/>
        <v>57543.17803598276</v>
      </c>
      <c r="W34" s="109">
        <f aca="true" t="shared" si="34" ref="W34:W54">V34</f>
        <v>57543.17803598276</v>
      </c>
    </row>
    <row r="35" spans="1:23" ht="12.75" outlineLevel="1">
      <c r="A35" s="76" t="s">
        <v>50</v>
      </c>
      <c r="B35" s="127">
        <v>500</v>
      </c>
      <c r="C35" s="127">
        <v>500</v>
      </c>
      <c r="D35" s="127">
        <v>500</v>
      </c>
      <c r="E35" s="127">
        <v>600</v>
      </c>
      <c r="F35" s="127">
        <v>600</v>
      </c>
      <c r="G35" s="127">
        <v>600</v>
      </c>
      <c r="H35" s="72">
        <f t="shared" si="30"/>
        <v>3300</v>
      </c>
      <c r="I35" s="127">
        <v>600</v>
      </c>
      <c r="J35" s="127">
        <v>600</v>
      </c>
      <c r="K35" s="127">
        <v>600</v>
      </c>
      <c r="L35" s="127">
        <v>600</v>
      </c>
      <c r="M35" s="127">
        <v>600</v>
      </c>
      <c r="N35" s="127">
        <v>600</v>
      </c>
      <c r="O35" s="127">
        <v>600</v>
      </c>
      <c r="P35" s="127">
        <v>600</v>
      </c>
      <c r="Q35" s="127">
        <v>600</v>
      </c>
      <c r="R35" s="127">
        <v>600</v>
      </c>
      <c r="S35" s="127">
        <v>600</v>
      </c>
      <c r="T35" s="127">
        <v>600</v>
      </c>
      <c r="U35" s="73">
        <f t="shared" si="31"/>
        <v>7200</v>
      </c>
      <c r="V35" s="74">
        <f t="shared" si="32"/>
        <v>10500</v>
      </c>
      <c r="W35" s="109">
        <f t="shared" si="34"/>
        <v>10500</v>
      </c>
    </row>
    <row r="36" spans="1:23" ht="12.75" outlineLevel="1">
      <c r="A36" s="76" t="s">
        <v>51</v>
      </c>
      <c r="B36" s="127"/>
      <c r="C36" s="127"/>
      <c r="D36" s="127"/>
      <c r="E36" s="127"/>
      <c r="F36" s="127"/>
      <c r="G36" s="127"/>
      <c r="H36" s="72">
        <f t="shared" si="30"/>
        <v>0</v>
      </c>
      <c r="I36" s="127"/>
      <c r="J36" s="127"/>
      <c r="K36" s="127"/>
      <c r="L36" s="127"/>
      <c r="M36" s="127"/>
      <c r="N36" s="127"/>
      <c r="O36" s="127">
        <v>400</v>
      </c>
      <c r="P36" s="127">
        <v>400</v>
      </c>
      <c r="Q36" s="127">
        <v>400</v>
      </c>
      <c r="R36" s="127">
        <v>400</v>
      </c>
      <c r="S36" s="127">
        <v>400</v>
      </c>
      <c r="T36" s="127">
        <v>400</v>
      </c>
      <c r="U36" s="73">
        <f t="shared" si="31"/>
        <v>2400</v>
      </c>
      <c r="V36" s="74">
        <f t="shared" si="32"/>
        <v>2400</v>
      </c>
      <c r="W36" s="109">
        <f t="shared" si="34"/>
        <v>2400</v>
      </c>
    </row>
    <row r="37" spans="1:23" ht="12.75" outlineLevel="1">
      <c r="A37" s="76" t="s">
        <v>52</v>
      </c>
      <c r="B37" s="127"/>
      <c r="C37" s="127"/>
      <c r="D37" s="127"/>
      <c r="E37" s="127"/>
      <c r="F37" s="127"/>
      <c r="G37" s="127"/>
      <c r="H37" s="72">
        <f t="shared" si="30"/>
        <v>0</v>
      </c>
      <c r="I37" s="127"/>
      <c r="J37" s="127"/>
      <c r="K37" s="127"/>
      <c r="L37" s="127"/>
      <c r="M37" s="127"/>
      <c r="N37" s="127"/>
      <c r="O37" s="127">
        <v>500</v>
      </c>
      <c r="P37" s="127">
        <v>500</v>
      </c>
      <c r="Q37" s="127">
        <v>500</v>
      </c>
      <c r="R37" s="127">
        <v>500</v>
      </c>
      <c r="S37" s="127">
        <v>500</v>
      </c>
      <c r="T37" s="127">
        <v>500</v>
      </c>
      <c r="U37" s="73">
        <f t="shared" si="31"/>
        <v>3000</v>
      </c>
      <c r="V37" s="74">
        <f t="shared" si="32"/>
        <v>3000</v>
      </c>
      <c r="W37" s="109">
        <f t="shared" si="34"/>
        <v>3000</v>
      </c>
    </row>
    <row r="38" spans="1:23" ht="12.75" outlineLevel="1">
      <c r="A38" s="76" t="s">
        <v>53</v>
      </c>
      <c r="B38" s="127"/>
      <c r="C38" s="127"/>
      <c r="D38" s="127">
        <v>400</v>
      </c>
      <c r="E38" s="127">
        <v>400</v>
      </c>
      <c r="F38" s="127">
        <v>400</v>
      </c>
      <c r="G38" s="127">
        <v>400</v>
      </c>
      <c r="H38" s="72">
        <f t="shared" si="30"/>
        <v>1600</v>
      </c>
      <c r="I38" s="127">
        <v>400</v>
      </c>
      <c r="J38" s="127">
        <v>400</v>
      </c>
      <c r="K38" s="127">
        <v>400</v>
      </c>
      <c r="L38" s="127">
        <v>400</v>
      </c>
      <c r="M38" s="127">
        <v>400</v>
      </c>
      <c r="N38" s="127">
        <v>400</v>
      </c>
      <c r="O38" s="127">
        <v>400</v>
      </c>
      <c r="P38" s="127">
        <v>400</v>
      </c>
      <c r="Q38" s="127">
        <v>400</v>
      </c>
      <c r="R38" s="127">
        <v>400</v>
      </c>
      <c r="S38" s="127">
        <v>400</v>
      </c>
      <c r="T38" s="127">
        <v>400</v>
      </c>
      <c r="U38" s="73">
        <f t="shared" si="31"/>
        <v>4800</v>
      </c>
      <c r="V38" s="74">
        <f t="shared" si="32"/>
        <v>6400</v>
      </c>
      <c r="W38" s="109">
        <f t="shared" si="34"/>
        <v>6400</v>
      </c>
    </row>
    <row r="39" spans="1:23" ht="12.75" outlineLevel="1">
      <c r="A39" s="76" t="s">
        <v>54</v>
      </c>
      <c r="B39" s="127"/>
      <c r="C39" s="127">
        <v>400</v>
      </c>
      <c r="D39" s="127">
        <v>400</v>
      </c>
      <c r="E39" s="127">
        <v>450</v>
      </c>
      <c r="F39" s="127">
        <v>450</v>
      </c>
      <c r="G39" s="127">
        <v>450</v>
      </c>
      <c r="H39" s="72">
        <f t="shared" si="30"/>
        <v>2150</v>
      </c>
      <c r="I39" s="127">
        <v>450</v>
      </c>
      <c r="J39" s="127">
        <v>450</v>
      </c>
      <c r="K39" s="127">
        <v>450</v>
      </c>
      <c r="L39" s="127">
        <v>450</v>
      </c>
      <c r="M39" s="127">
        <v>450</v>
      </c>
      <c r="N39" s="127">
        <v>450</v>
      </c>
      <c r="O39" s="127">
        <v>450</v>
      </c>
      <c r="P39" s="127">
        <v>450</v>
      </c>
      <c r="Q39" s="127">
        <v>450</v>
      </c>
      <c r="R39" s="127">
        <v>450</v>
      </c>
      <c r="S39" s="127">
        <v>450</v>
      </c>
      <c r="T39" s="127">
        <v>450</v>
      </c>
      <c r="U39" s="73">
        <f t="shared" si="31"/>
        <v>5400</v>
      </c>
      <c r="V39" s="74">
        <f t="shared" si="32"/>
        <v>7550</v>
      </c>
      <c r="W39" s="109">
        <f t="shared" si="34"/>
        <v>7550</v>
      </c>
    </row>
    <row r="40" spans="1:23" ht="12.75" outlineLevel="1">
      <c r="A40" s="76" t="s">
        <v>54</v>
      </c>
      <c r="B40" s="127"/>
      <c r="C40" s="127"/>
      <c r="D40" s="127"/>
      <c r="E40" s="127"/>
      <c r="F40" s="127"/>
      <c r="G40" s="127"/>
      <c r="H40" s="72">
        <f t="shared" si="30"/>
        <v>0</v>
      </c>
      <c r="I40" s="127">
        <v>400</v>
      </c>
      <c r="J40" s="127">
        <v>400</v>
      </c>
      <c r="K40" s="127">
        <v>400</v>
      </c>
      <c r="L40" s="127">
        <v>400</v>
      </c>
      <c r="M40" s="127">
        <v>400</v>
      </c>
      <c r="N40" s="127">
        <v>400</v>
      </c>
      <c r="O40" s="127">
        <v>400</v>
      </c>
      <c r="P40" s="127">
        <v>400</v>
      </c>
      <c r="Q40" s="127">
        <v>400</v>
      </c>
      <c r="R40" s="127">
        <v>400</v>
      </c>
      <c r="S40" s="127">
        <v>400</v>
      </c>
      <c r="T40" s="127">
        <v>400</v>
      </c>
      <c r="U40" s="73">
        <f t="shared" si="31"/>
        <v>4800</v>
      </c>
      <c r="V40" s="74">
        <f t="shared" si="32"/>
        <v>4800</v>
      </c>
      <c r="W40" s="109">
        <f t="shared" si="34"/>
        <v>4800</v>
      </c>
    </row>
    <row r="41" spans="1:23" ht="12.75" outlineLevel="1">
      <c r="A41" s="76" t="s">
        <v>55</v>
      </c>
      <c r="B41" s="127"/>
      <c r="C41" s="127">
        <v>300</v>
      </c>
      <c r="D41" s="127">
        <v>300</v>
      </c>
      <c r="E41" s="127">
        <v>350</v>
      </c>
      <c r="F41" s="127">
        <v>350</v>
      </c>
      <c r="G41" s="127">
        <v>350</v>
      </c>
      <c r="H41" s="72">
        <f t="shared" si="30"/>
        <v>1650</v>
      </c>
      <c r="I41" s="127">
        <v>350</v>
      </c>
      <c r="J41" s="127">
        <v>350</v>
      </c>
      <c r="K41" s="127">
        <v>350</v>
      </c>
      <c r="L41" s="127">
        <v>350</v>
      </c>
      <c r="M41" s="127">
        <v>350</v>
      </c>
      <c r="N41" s="127">
        <v>350</v>
      </c>
      <c r="O41" s="127">
        <v>350</v>
      </c>
      <c r="P41" s="127">
        <v>350</v>
      </c>
      <c r="Q41" s="127">
        <v>350</v>
      </c>
      <c r="R41" s="127">
        <v>350</v>
      </c>
      <c r="S41" s="127">
        <v>350</v>
      </c>
      <c r="T41" s="127">
        <v>350</v>
      </c>
      <c r="U41" s="73">
        <f t="shared" si="31"/>
        <v>4200</v>
      </c>
      <c r="V41" s="74">
        <f t="shared" si="32"/>
        <v>5850</v>
      </c>
      <c r="W41" s="109">
        <f t="shared" si="34"/>
        <v>5850</v>
      </c>
    </row>
    <row r="42" spans="1:23" ht="12.75" outlineLevel="1">
      <c r="A42" s="76" t="s">
        <v>56</v>
      </c>
      <c r="B42" s="127"/>
      <c r="C42" s="127"/>
      <c r="D42" s="127"/>
      <c r="E42" s="127"/>
      <c r="F42" s="127"/>
      <c r="G42" s="127"/>
      <c r="H42" s="72">
        <f t="shared" si="30"/>
        <v>0</v>
      </c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73">
        <f t="shared" si="31"/>
        <v>0</v>
      </c>
      <c r="V42" s="74">
        <f t="shared" si="32"/>
        <v>0</v>
      </c>
      <c r="W42" s="109">
        <f t="shared" si="34"/>
        <v>0</v>
      </c>
    </row>
    <row r="43" spans="1:23" ht="12.75" outlineLevel="1">
      <c r="A43" s="76" t="s">
        <v>57</v>
      </c>
      <c r="B43" s="127"/>
      <c r="C43" s="127"/>
      <c r="D43" s="127"/>
      <c r="E43" s="127"/>
      <c r="F43" s="127"/>
      <c r="G43" s="127"/>
      <c r="H43" s="72">
        <f t="shared" si="30"/>
        <v>0</v>
      </c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73">
        <f t="shared" si="31"/>
        <v>0</v>
      </c>
      <c r="V43" s="74">
        <f t="shared" si="32"/>
        <v>0</v>
      </c>
      <c r="W43" s="109">
        <f t="shared" si="34"/>
        <v>0</v>
      </c>
    </row>
    <row r="44" spans="1:23" ht="25.5">
      <c r="A44" s="76" t="s">
        <v>58</v>
      </c>
      <c r="B44" s="46">
        <f>B2/10</f>
        <v>0</v>
      </c>
      <c r="C44" s="46">
        <f aca="true" t="shared" si="35" ref="C44:R44">C2/10</f>
        <v>0</v>
      </c>
      <c r="D44" s="46">
        <f t="shared" si="35"/>
        <v>100</v>
      </c>
      <c r="E44" s="46">
        <f t="shared" si="35"/>
        <v>270</v>
      </c>
      <c r="F44" s="46">
        <f t="shared" si="35"/>
        <v>487.5</v>
      </c>
      <c r="G44" s="46">
        <f t="shared" si="35"/>
        <v>555</v>
      </c>
      <c r="H44" s="72">
        <f t="shared" si="30"/>
        <v>1412.5</v>
      </c>
      <c r="I44" s="46">
        <f t="shared" si="35"/>
        <v>755</v>
      </c>
      <c r="J44" s="88">
        <f t="shared" si="35"/>
        <v>882.5</v>
      </c>
      <c r="K44" s="88">
        <f t="shared" si="35"/>
        <v>912.75</v>
      </c>
      <c r="L44" s="88">
        <f t="shared" si="35"/>
        <v>1046.025</v>
      </c>
      <c r="M44" s="88">
        <f t="shared" si="35"/>
        <v>1082.6275</v>
      </c>
      <c r="N44" s="88">
        <f t="shared" si="35"/>
        <v>1222.8902500000002</v>
      </c>
      <c r="O44" s="88">
        <f t="shared" si="35"/>
        <v>1302.1792750000004</v>
      </c>
      <c r="P44" s="88">
        <f t="shared" si="35"/>
        <v>1350.8972025000003</v>
      </c>
      <c r="Q44" s="88">
        <f t="shared" si="35"/>
        <v>1659.4869227500003</v>
      </c>
      <c r="R44" s="88">
        <f t="shared" si="35"/>
        <v>1718.4356150250005</v>
      </c>
      <c r="S44" s="88">
        <f>S2/10</f>
        <v>1813.2791765275003</v>
      </c>
      <c r="T44" s="88">
        <f>T2/10</f>
        <v>1884.6070941802507</v>
      </c>
      <c r="U44" s="73">
        <f t="shared" si="31"/>
        <v>15630.678035982752</v>
      </c>
      <c r="V44" s="74">
        <f t="shared" si="32"/>
        <v>17043.178035982753</v>
      </c>
      <c r="W44" s="109">
        <f t="shared" si="34"/>
        <v>17043.178035982753</v>
      </c>
    </row>
    <row r="45" spans="1:23" ht="18" customHeight="1">
      <c r="A45" s="90" t="s">
        <v>59</v>
      </c>
      <c r="B45" s="102">
        <f aca="true" t="shared" si="36" ref="B45:Q45">SUM(B46:B49)</f>
        <v>280</v>
      </c>
      <c r="C45" s="102">
        <f t="shared" si="36"/>
        <v>300</v>
      </c>
      <c r="D45" s="102">
        <f t="shared" si="36"/>
        <v>400</v>
      </c>
      <c r="E45" s="102">
        <f t="shared" si="36"/>
        <v>400</v>
      </c>
      <c r="F45" s="102">
        <f t="shared" si="36"/>
        <v>400</v>
      </c>
      <c r="G45" s="102">
        <f t="shared" si="36"/>
        <v>400</v>
      </c>
      <c r="H45" s="72">
        <f t="shared" si="30"/>
        <v>2180</v>
      </c>
      <c r="I45" s="102">
        <f t="shared" si="36"/>
        <v>600</v>
      </c>
      <c r="J45" s="102">
        <f t="shared" si="36"/>
        <v>600</v>
      </c>
      <c r="K45" s="102">
        <f t="shared" si="36"/>
        <v>600</v>
      </c>
      <c r="L45" s="102">
        <f t="shared" si="36"/>
        <v>600</v>
      </c>
      <c r="M45" s="102">
        <f t="shared" si="36"/>
        <v>600</v>
      </c>
      <c r="N45" s="102">
        <f t="shared" si="36"/>
        <v>600</v>
      </c>
      <c r="O45" s="102">
        <f t="shared" si="36"/>
        <v>600</v>
      </c>
      <c r="P45" s="102">
        <f t="shared" si="36"/>
        <v>600</v>
      </c>
      <c r="Q45" s="102">
        <f t="shared" si="36"/>
        <v>600</v>
      </c>
      <c r="R45" s="102">
        <f>SUM(R46:R49)</f>
        <v>600</v>
      </c>
      <c r="S45" s="102">
        <f>SUM(S46:S49)</f>
        <v>600</v>
      </c>
      <c r="T45" s="102">
        <f>SUM(T46:T49)</f>
        <v>600</v>
      </c>
      <c r="U45" s="73">
        <f t="shared" si="31"/>
        <v>7200</v>
      </c>
      <c r="V45" s="74">
        <f t="shared" si="32"/>
        <v>9380</v>
      </c>
      <c r="W45" s="109">
        <f t="shared" si="34"/>
        <v>9380</v>
      </c>
    </row>
    <row r="46" spans="1:23" ht="25.5" outlineLevel="1">
      <c r="A46" s="76" t="s">
        <v>60</v>
      </c>
      <c r="B46" s="127"/>
      <c r="C46" s="127">
        <v>250</v>
      </c>
      <c r="D46" s="127">
        <v>250</v>
      </c>
      <c r="E46" s="127">
        <v>250</v>
      </c>
      <c r="F46" s="127">
        <v>250</v>
      </c>
      <c r="G46" s="127">
        <v>250</v>
      </c>
      <c r="H46" s="72">
        <f t="shared" si="30"/>
        <v>1250</v>
      </c>
      <c r="I46" s="127">
        <v>250</v>
      </c>
      <c r="J46" s="127">
        <v>250</v>
      </c>
      <c r="K46" s="127">
        <v>250</v>
      </c>
      <c r="L46" s="127">
        <v>250</v>
      </c>
      <c r="M46" s="127">
        <v>250</v>
      </c>
      <c r="N46" s="127">
        <v>250</v>
      </c>
      <c r="O46" s="127">
        <v>250</v>
      </c>
      <c r="P46" s="127">
        <v>250</v>
      </c>
      <c r="Q46" s="127">
        <v>250</v>
      </c>
      <c r="R46" s="127">
        <v>250</v>
      </c>
      <c r="S46" s="127">
        <v>250</v>
      </c>
      <c r="T46" s="127">
        <v>250</v>
      </c>
      <c r="U46" s="73">
        <f t="shared" si="31"/>
        <v>3000</v>
      </c>
      <c r="V46" s="74">
        <f t="shared" si="32"/>
        <v>4250</v>
      </c>
      <c r="W46" s="109">
        <f t="shared" si="34"/>
        <v>4250</v>
      </c>
    </row>
    <row r="47" spans="1:23" ht="12.75" outlineLevel="1">
      <c r="A47" s="76" t="s">
        <v>61</v>
      </c>
      <c r="B47" s="127"/>
      <c r="C47" s="127"/>
      <c r="D47" s="127">
        <v>100</v>
      </c>
      <c r="E47" s="127">
        <v>100</v>
      </c>
      <c r="F47" s="127">
        <v>100</v>
      </c>
      <c r="G47" s="127">
        <v>100</v>
      </c>
      <c r="H47" s="72">
        <f t="shared" si="30"/>
        <v>400</v>
      </c>
      <c r="I47" s="127">
        <v>100</v>
      </c>
      <c r="J47" s="127">
        <v>100</v>
      </c>
      <c r="K47" s="127">
        <v>100</v>
      </c>
      <c r="L47" s="127">
        <v>100</v>
      </c>
      <c r="M47" s="127">
        <v>100</v>
      </c>
      <c r="N47" s="127">
        <v>100</v>
      </c>
      <c r="O47" s="127">
        <v>100</v>
      </c>
      <c r="P47" s="127">
        <v>100</v>
      </c>
      <c r="Q47" s="127">
        <v>100</v>
      </c>
      <c r="R47" s="127">
        <v>100</v>
      </c>
      <c r="S47" s="127">
        <v>100</v>
      </c>
      <c r="T47" s="127">
        <v>100</v>
      </c>
      <c r="U47" s="73">
        <f t="shared" si="31"/>
        <v>1200</v>
      </c>
      <c r="V47" s="74">
        <f t="shared" si="32"/>
        <v>1600</v>
      </c>
      <c r="W47" s="109">
        <f t="shared" si="34"/>
        <v>1600</v>
      </c>
    </row>
    <row r="48" spans="1:23" ht="25.5" outlineLevel="1">
      <c r="A48" s="76" t="s">
        <v>62</v>
      </c>
      <c r="B48" s="127"/>
      <c r="C48" s="127"/>
      <c r="D48" s="127"/>
      <c r="E48" s="127"/>
      <c r="F48" s="127"/>
      <c r="G48" s="127"/>
      <c r="H48" s="72">
        <f t="shared" si="30"/>
        <v>0</v>
      </c>
      <c r="I48" s="127">
        <v>200</v>
      </c>
      <c r="J48" s="127">
        <v>200</v>
      </c>
      <c r="K48" s="127">
        <v>200</v>
      </c>
      <c r="L48" s="127">
        <v>200</v>
      </c>
      <c r="M48" s="127">
        <v>200</v>
      </c>
      <c r="N48" s="127">
        <v>200</v>
      </c>
      <c r="O48" s="127">
        <v>200</v>
      </c>
      <c r="P48" s="127">
        <v>200</v>
      </c>
      <c r="Q48" s="127">
        <v>200</v>
      </c>
      <c r="R48" s="127">
        <v>200</v>
      </c>
      <c r="S48" s="127">
        <v>200</v>
      </c>
      <c r="T48" s="127">
        <v>200</v>
      </c>
      <c r="U48" s="73">
        <f t="shared" si="31"/>
        <v>2400</v>
      </c>
      <c r="V48" s="74">
        <f t="shared" si="32"/>
        <v>2400</v>
      </c>
      <c r="W48" s="109">
        <f t="shared" si="34"/>
        <v>2400</v>
      </c>
    </row>
    <row r="49" spans="1:23" ht="38.25" outlineLevel="1">
      <c r="A49" s="76" t="s">
        <v>63</v>
      </c>
      <c r="B49" s="127">
        <v>280</v>
      </c>
      <c r="C49" s="127">
        <v>50</v>
      </c>
      <c r="D49" s="127">
        <v>50</v>
      </c>
      <c r="E49" s="127">
        <v>50</v>
      </c>
      <c r="F49" s="127">
        <v>50</v>
      </c>
      <c r="G49" s="127">
        <v>50</v>
      </c>
      <c r="H49" s="72">
        <f aca="true" t="shared" si="37" ref="H49:H64">SUM(B49:G49)</f>
        <v>530</v>
      </c>
      <c r="I49" s="127">
        <v>50</v>
      </c>
      <c r="J49" s="127">
        <v>50</v>
      </c>
      <c r="K49" s="127">
        <v>50</v>
      </c>
      <c r="L49" s="127">
        <v>50</v>
      </c>
      <c r="M49" s="127">
        <v>50</v>
      </c>
      <c r="N49" s="127">
        <v>50</v>
      </c>
      <c r="O49" s="127">
        <v>50</v>
      </c>
      <c r="P49" s="127">
        <v>50</v>
      </c>
      <c r="Q49" s="127">
        <v>50</v>
      </c>
      <c r="R49" s="127">
        <v>50</v>
      </c>
      <c r="S49" s="127">
        <v>50</v>
      </c>
      <c r="T49" s="127">
        <v>50</v>
      </c>
      <c r="U49" s="73">
        <f aca="true" t="shared" si="38" ref="U49:U64">SUM(I49:T49)</f>
        <v>600</v>
      </c>
      <c r="V49" s="74">
        <f aca="true" t="shared" si="39" ref="V49:V64">SUM(H49,U49)</f>
        <v>1130</v>
      </c>
      <c r="W49" s="109">
        <f t="shared" si="34"/>
        <v>1130</v>
      </c>
    </row>
    <row r="50" spans="1:23" ht="25.5">
      <c r="A50" s="90" t="s">
        <v>64</v>
      </c>
      <c r="B50" s="80">
        <f aca="true" t="shared" si="40" ref="B50:G50">500/12*20</f>
        <v>833.3333333333333</v>
      </c>
      <c r="C50" s="80">
        <f t="shared" si="40"/>
        <v>833.3333333333333</v>
      </c>
      <c r="D50" s="80">
        <f t="shared" si="40"/>
        <v>833.3333333333333</v>
      </c>
      <c r="E50" s="80">
        <f t="shared" si="40"/>
        <v>833.3333333333333</v>
      </c>
      <c r="F50" s="80">
        <f t="shared" si="40"/>
        <v>833.3333333333333</v>
      </c>
      <c r="G50" s="80">
        <f t="shared" si="40"/>
        <v>833.3333333333333</v>
      </c>
      <c r="H50" s="72">
        <f t="shared" si="37"/>
        <v>4999.999999999999</v>
      </c>
      <c r="I50" s="80">
        <f aca="true" t="shared" si="41" ref="I50:S50">500/12*20</f>
        <v>833.3333333333333</v>
      </c>
      <c r="J50" s="80">
        <f t="shared" si="41"/>
        <v>833.3333333333333</v>
      </c>
      <c r="K50" s="80">
        <f t="shared" si="41"/>
        <v>833.3333333333333</v>
      </c>
      <c r="L50" s="80">
        <f t="shared" si="41"/>
        <v>833.3333333333333</v>
      </c>
      <c r="M50" s="80">
        <f t="shared" si="41"/>
        <v>833.3333333333333</v>
      </c>
      <c r="N50" s="80">
        <f t="shared" si="41"/>
        <v>833.3333333333333</v>
      </c>
      <c r="O50" s="80">
        <f t="shared" si="41"/>
        <v>833.3333333333333</v>
      </c>
      <c r="P50" s="80">
        <f t="shared" si="41"/>
        <v>833.3333333333333</v>
      </c>
      <c r="Q50" s="80">
        <f t="shared" si="41"/>
        <v>833.3333333333333</v>
      </c>
      <c r="R50" s="80">
        <f t="shared" si="41"/>
        <v>833.3333333333333</v>
      </c>
      <c r="S50" s="80">
        <f t="shared" si="41"/>
        <v>833.3333333333333</v>
      </c>
      <c r="T50" s="80">
        <f>500/12*20</f>
        <v>833.3333333333333</v>
      </c>
      <c r="U50" s="73">
        <f t="shared" si="38"/>
        <v>10000</v>
      </c>
      <c r="V50" s="74">
        <f t="shared" si="39"/>
        <v>15000</v>
      </c>
      <c r="W50" s="109">
        <f t="shared" si="34"/>
        <v>15000</v>
      </c>
    </row>
    <row r="51" spans="1:23" ht="12.75">
      <c r="A51" s="90" t="s">
        <v>65</v>
      </c>
      <c r="B51" s="79">
        <v>50</v>
      </c>
      <c r="C51" s="79">
        <v>50</v>
      </c>
      <c r="D51" s="79">
        <v>50</v>
      </c>
      <c r="E51" s="79">
        <v>50</v>
      </c>
      <c r="F51" s="79">
        <v>50</v>
      </c>
      <c r="G51" s="79">
        <v>50</v>
      </c>
      <c r="H51" s="72">
        <f t="shared" si="37"/>
        <v>300</v>
      </c>
      <c r="I51" s="79">
        <v>50</v>
      </c>
      <c r="J51" s="79">
        <v>50</v>
      </c>
      <c r="K51" s="79">
        <v>50</v>
      </c>
      <c r="L51" s="79">
        <v>50</v>
      </c>
      <c r="M51" s="79">
        <v>50</v>
      </c>
      <c r="N51" s="79">
        <v>50</v>
      </c>
      <c r="O51" s="79">
        <v>50</v>
      </c>
      <c r="P51" s="79">
        <v>50</v>
      </c>
      <c r="Q51" s="79">
        <v>50</v>
      </c>
      <c r="R51" s="79">
        <v>50</v>
      </c>
      <c r="S51" s="79">
        <v>50</v>
      </c>
      <c r="T51" s="79">
        <v>50</v>
      </c>
      <c r="U51" s="73">
        <f t="shared" si="38"/>
        <v>600</v>
      </c>
      <c r="V51" s="74">
        <f t="shared" si="39"/>
        <v>900</v>
      </c>
      <c r="W51" s="109">
        <f t="shared" si="34"/>
        <v>900</v>
      </c>
    </row>
    <row r="52" spans="1:23" ht="12.75">
      <c r="A52" s="90" t="s">
        <v>66</v>
      </c>
      <c r="B52" s="79"/>
      <c r="C52" s="79"/>
      <c r="D52" s="79"/>
      <c r="E52" s="79">
        <v>100</v>
      </c>
      <c r="F52" s="79">
        <v>200</v>
      </c>
      <c r="G52" s="79">
        <v>200</v>
      </c>
      <c r="H52" s="72">
        <f t="shared" si="37"/>
        <v>500</v>
      </c>
      <c r="I52" s="79">
        <v>300</v>
      </c>
      <c r="J52" s="79">
        <v>300</v>
      </c>
      <c r="K52" s="79">
        <v>300</v>
      </c>
      <c r="L52" s="79">
        <v>300</v>
      </c>
      <c r="M52" s="79">
        <v>300</v>
      </c>
      <c r="N52" s="79">
        <v>300</v>
      </c>
      <c r="O52" s="79">
        <v>300</v>
      </c>
      <c r="P52" s="79">
        <v>300</v>
      </c>
      <c r="Q52" s="79">
        <v>300</v>
      </c>
      <c r="R52" s="79">
        <v>300</v>
      </c>
      <c r="S52" s="79">
        <v>300</v>
      </c>
      <c r="T52" s="79">
        <v>300</v>
      </c>
      <c r="U52" s="73">
        <f t="shared" si="38"/>
        <v>3600</v>
      </c>
      <c r="V52" s="74">
        <f t="shared" si="39"/>
        <v>4100</v>
      </c>
      <c r="W52" s="109">
        <f t="shared" si="34"/>
        <v>4100</v>
      </c>
    </row>
    <row r="53" spans="1:23" ht="38.25">
      <c r="A53" s="90" t="s">
        <v>67</v>
      </c>
      <c r="B53" s="79"/>
      <c r="C53" s="79"/>
      <c r="D53" s="79"/>
      <c r="E53" s="79"/>
      <c r="F53" s="79"/>
      <c r="G53" s="79"/>
      <c r="H53" s="72">
        <f t="shared" si="37"/>
        <v>0</v>
      </c>
      <c r="I53" s="79">
        <v>1000</v>
      </c>
      <c r="J53" s="79">
        <v>1000</v>
      </c>
      <c r="K53" s="79">
        <v>1000</v>
      </c>
      <c r="L53" s="79">
        <v>1000</v>
      </c>
      <c r="M53" s="79">
        <v>1000</v>
      </c>
      <c r="N53" s="79">
        <v>1000</v>
      </c>
      <c r="O53" s="79">
        <v>1000</v>
      </c>
      <c r="P53" s="79">
        <v>1000</v>
      </c>
      <c r="Q53" s="79">
        <v>1000</v>
      </c>
      <c r="R53" s="79">
        <v>1000</v>
      </c>
      <c r="S53" s="79">
        <v>1000</v>
      </c>
      <c r="T53" s="79">
        <v>1000</v>
      </c>
      <c r="U53" s="73">
        <f t="shared" si="38"/>
        <v>12000</v>
      </c>
      <c r="V53" s="74">
        <f t="shared" si="39"/>
        <v>12000</v>
      </c>
      <c r="W53" s="109">
        <f t="shared" si="34"/>
        <v>12000</v>
      </c>
    </row>
    <row r="54" spans="1:23" ht="12.75">
      <c r="A54" s="90" t="s">
        <v>68</v>
      </c>
      <c r="B54" s="79">
        <v>100</v>
      </c>
      <c r="C54" s="79">
        <v>100</v>
      </c>
      <c r="D54" s="79">
        <v>100</v>
      </c>
      <c r="E54" s="79">
        <v>100</v>
      </c>
      <c r="F54" s="79">
        <v>100</v>
      </c>
      <c r="G54" s="79">
        <v>100</v>
      </c>
      <c r="H54" s="72">
        <f t="shared" si="37"/>
        <v>600</v>
      </c>
      <c r="I54" s="79">
        <v>200</v>
      </c>
      <c r="J54" s="79">
        <v>200</v>
      </c>
      <c r="K54" s="79">
        <v>200</v>
      </c>
      <c r="L54" s="79">
        <v>200</v>
      </c>
      <c r="M54" s="79">
        <v>200</v>
      </c>
      <c r="N54" s="79">
        <v>200</v>
      </c>
      <c r="O54" s="79">
        <v>200</v>
      </c>
      <c r="P54" s="79">
        <v>200</v>
      </c>
      <c r="Q54" s="79">
        <v>200</v>
      </c>
      <c r="R54" s="79">
        <v>200</v>
      </c>
      <c r="S54" s="79">
        <v>200</v>
      </c>
      <c r="T54" s="79">
        <v>200</v>
      </c>
      <c r="U54" s="73">
        <f t="shared" si="38"/>
        <v>2400</v>
      </c>
      <c r="V54" s="74">
        <f t="shared" si="39"/>
        <v>3000</v>
      </c>
      <c r="W54" s="109">
        <f t="shared" si="34"/>
        <v>3000</v>
      </c>
    </row>
    <row r="55" spans="1:23" ht="12.75" collapsed="1">
      <c r="A55" s="91" t="s">
        <v>45</v>
      </c>
      <c r="B55" s="80">
        <f aca="true" t="shared" si="42" ref="B55:H55">(B33-B34)*0.2</f>
        <v>252.66666666666666</v>
      </c>
      <c r="C55" s="80">
        <f t="shared" si="42"/>
        <v>256.66666666666663</v>
      </c>
      <c r="D55" s="80">
        <f t="shared" si="42"/>
        <v>276.66666666666663</v>
      </c>
      <c r="E55" s="80">
        <f t="shared" si="42"/>
        <v>296.66666666666663</v>
      </c>
      <c r="F55" s="80">
        <f t="shared" si="42"/>
        <v>316.66666666666663</v>
      </c>
      <c r="G55" s="80">
        <f t="shared" si="42"/>
        <v>316.66666666666663</v>
      </c>
      <c r="H55" s="69">
        <f t="shared" si="42"/>
        <v>1715.9999999999993</v>
      </c>
      <c r="I55" s="80">
        <f aca="true" t="shared" si="43" ref="I55:T55">(I33-I34)*0.2</f>
        <v>596.6666666666666</v>
      </c>
      <c r="J55" s="80">
        <f t="shared" si="43"/>
        <v>596.6666666666666</v>
      </c>
      <c r="K55" s="80">
        <f t="shared" si="43"/>
        <v>596.6666666666666</v>
      </c>
      <c r="L55" s="80">
        <f t="shared" si="43"/>
        <v>596.6666666666667</v>
      </c>
      <c r="M55" s="80">
        <f t="shared" si="43"/>
        <v>596.6666666666667</v>
      </c>
      <c r="N55" s="80">
        <f t="shared" si="43"/>
        <v>596.6666666666666</v>
      </c>
      <c r="O55" s="80">
        <f t="shared" si="43"/>
        <v>596.6666666666666</v>
      </c>
      <c r="P55" s="80">
        <f t="shared" si="43"/>
        <v>596.6666666666666</v>
      </c>
      <c r="Q55" s="80">
        <f t="shared" si="43"/>
        <v>596.6666666666666</v>
      </c>
      <c r="R55" s="80">
        <f t="shared" si="43"/>
        <v>596.6666666666666</v>
      </c>
      <c r="S55" s="80">
        <f t="shared" si="43"/>
        <v>596.6666666666666</v>
      </c>
      <c r="T55" s="80">
        <f t="shared" si="43"/>
        <v>596.6666666666666</v>
      </c>
      <c r="U55" s="84">
        <f t="shared" si="38"/>
        <v>7160.000000000002</v>
      </c>
      <c r="V55" s="85">
        <f t="shared" si="39"/>
        <v>8876.000000000002</v>
      </c>
      <c r="W55" s="111">
        <f>(W33-W34)*0.2</f>
        <v>8876.000000000002</v>
      </c>
    </row>
    <row r="56" spans="1:23" ht="12.75">
      <c r="A56" s="91" t="s">
        <v>69</v>
      </c>
      <c r="B56" s="80">
        <f>B33-B55</f>
        <v>1510.6666666666665</v>
      </c>
      <c r="C56" s="80">
        <f aca="true" t="shared" si="44" ref="C56:R56">C33-C55</f>
        <v>2226.6666666666665</v>
      </c>
      <c r="D56" s="80">
        <f t="shared" si="44"/>
        <v>2806.6666666666665</v>
      </c>
      <c r="E56" s="80">
        <f t="shared" si="44"/>
        <v>3256.6666666666665</v>
      </c>
      <c r="F56" s="80">
        <f t="shared" si="44"/>
        <v>3554.1666666666665</v>
      </c>
      <c r="G56" s="80">
        <f t="shared" si="44"/>
        <v>3621.6666666666665</v>
      </c>
      <c r="H56" s="69">
        <f t="shared" si="37"/>
        <v>16976.5</v>
      </c>
      <c r="I56" s="80">
        <f t="shared" si="44"/>
        <v>5341.666666666666</v>
      </c>
      <c r="J56" s="80">
        <f t="shared" si="44"/>
        <v>5469.166666666666</v>
      </c>
      <c r="K56" s="80">
        <f t="shared" si="44"/>
        <v>5499.416666666666</v>
      </c>
      <c r="L56" s="80">
        <f t="shared" si="44"/>
        <v>5632.691666666667</v>
      </c>
      <c r="M56" s="80">
        <f t="shared" si="44"/>
        <v>5669.294166666667</v>
      </c>
      <c r="N56" s="80">
        <f t="shared" si="44"/>
        <v>5809.556916666666</v>
      </c>
      <c r="O56" s="80">
        <f t="shared" si="44"/>
        <v>6788.8459416666665</v>
      </c>
      <c r="P56" s="80">
        <f t="shared" si="44"/>
        <v>6837.563869166666</v>
      </c>
      <c r="Q56" s="80">
        <f t="shared" si="44"/>
        <v>7146.153589416666</v>
      </c>
      <c r="R56" s="80">
        <f t="shared" si="44"/>
        <v>7205.102281691667</v>
      </c>
      <c r="S56" s="80">
        <f>S33-S55</f>
        <v>7299.945843194167</v>
      </c>
      <c r="T56" s="80">
        <f>T33-T55</f>
        <v>7371.273760846917</v>
      </c>
      <c r="U56" s="84">
        <f t="shared" si="38"/>
        <v>76070.67803598275</v>
      </c>
      <c r="V56" s="85">
        <f t="shared" si="39"/>
        <v>93047.17803598275</v>
      </c>
      <c r="W56" s="111">
        <f>W33-W55</f>
        <v>93047.17803598277</v>
      </c>
    </row>
    <row r="57" spans="1:23" ht="12.75">
      <c r="A57" s="91" t="s">
        <v>70</v>
      </c>
      <c r="B57" s="104">
        <f>B58+B59</f>
        <v>666.6666666666667</v>
      </c>
      <c r="C57" s="104">
        <f aca="true" t="shared" si="45" ref="C57:R57">C58+C59</f>
        <v>666.6666666666667</v>
      </c>
      <c r="D57" s="104">
        <f t="shared" si="45"/>
        <v>666.6666666666667</v>
      </c>
      <c r="E57" s="104">
        <f t="shared" si="45"/>
        <v>666.6666666666667</v>
      </c>
      <c r="F57" s="104">
        <f t="shared" si="45"/>
        <v>666.6666666666667</v>
      </c>
      <c r="G57" s="104">
        <f t="shared" si="45"/>
        <v>666.6666666666667</v>
      </c>
      <c r="H57" s="69">
        <f t="shared" si="37"/>
        <v>4000.000000000001</v>
      </c>
      <c r="I57" s="104">
        <f t="shared" si="45"/>
        <v>666.6666666666667</v>
      </c>
      <c r="J57" s="104">
        <f t="shared" si="45"/>
        <v>666.6666666666667</v>
      </c>
      <c r="K57" s="104">
        <f t="shared" si="45"/>
        <v>666.6666666666667</v>
      </c>
      <c r="L57" s="104">
        <f t="shared" si="45"/>
        <v>666.6666666666667</v>
      </c>
      <c r="M57" s="104">
        <f t="shared" si="45"/>
        <v>666.6666666666667</v>
      </c>
      <c r="N57" s="104">
        <f t="shared" si="45"/>
        <v>666.6666666666667</v>
      </c>
      <c r="O57" s="104">
        <f t="shared" si="45"/>
        <v>666.6666666666667</v>
      </c>
      <c r="P57" s="104">
        <f t="shared" si="45"/>
        <v>666.6666666666667</v>
      </c>
      <c r="Q57" s="104">
        <f t="shared" si="45"/>
        <v>666.6666666666667</v>
      </c>
      <c r="R57" s="104">
        <f t="shared" si="45"/>
        <v>666.6666666666667</v>
      </c>
      <c r="S57" s="104">
        <f>S58+S59</f>
        <v>666.6666666666667</v>
      </c>
      <c r="T57" s="104">
        <f>T58+T59</f>
        <v>666.6666666666667</v>
      </c>
      <c r="U57" s="84">
        <f t="shared" si="38"/>
        <v>8000.000000000003</v>
      </c>
      <c r="V57" s="85">
        <f>SUM(H57,U57)</f>
        <v>12000.000000000004</v>
      </c>
      <c r="W57" s="112">
        <f>W58+W59</f>
        <v>12000</v>
      </c>
    </row>
    <row r="58" spans="1:23" ht="12.75" outlineLevel="1">
      <c r="A58" s="76" t="s">
        <v>71</v>
      </c>
      <c r="B58" s="92">
        <f>'кэш-флоу'!$B$57/18</f>
        <v>444.44444444444446</v>
      </c>
      <c r="C58" s="92">
        <f>'кэш-флоу'!$B$57/18</f>
        <v>444.44444444444446</v>
      </c>
      <c r="D58" s="92">
        <f>'кэш-флоу'!$B$57/18</f>
        <v>444.44444444444446</v>
      </c>
      <c r="E58" s="92">
        <f>'кэш-флоу'!$B$57/18</f>
        <v>444.44444444444446</v>
      </c>
      <c r="F58" s="92">
        <f>'кэш-флоу'!$B$57/18</f>
        <v>444.44444444444446</v>
      </c>
      <c r="G58" s="92">
        <f>'кэш-флоу'!$B$57/18</f>
        <v>444.44444444444446</v>
      </c>
      <c r="H58" s="72">
        <f t="shared" si="37"/>
        <v>2666.6666666666665</v>
      </c>
      <c r="I58" s="92">
        <f>'кэш-флоу'!$B$57/18</f>
        <v>444.44444444444446</v>
      </c>
      <c r="J58" s="92">
        <f>'кэш-флоу'!$B$57/18</f>
        <v>444.44444444444446</v>
      </c>
      <c r="K58" s="92">
        <f>'кэш-флоу'!$B$57/18</f>
        <v>444.44444444444446</v>
      </c>
      <c r="L58" s="92">
        <f>'кэш-флоу'!$B$57/18</f>
        <v>444.44444444444446</v>
      </c>
      <c r="M58" s="92">
        <f>'кэш-флоу'!$B$57/18</f>
        <v>444.44444444444446</v>
      </c>
      <c r="N58" s="92">
        <f>'кэш-флоу'!$B$57/18</f>
        <v>444.44444444444446</v>
      </c>
      <c r="O58" s="92">
        <f>'кэш-флоу'!$B$57/18</f>
        <v>444.44444444444446</v>
      </c>
      <c r="P58" s="92">
        <f>'кэш-флоу'!$B$57/18</f>
        <v>444.44444444444446</v>
      </c>
      <c r="Q58" s="92">
        <f>'кэш-флоу'!$B$57/18</f>
        <v>444.44444444444446</v>
      </c>
      <c r="R58" s="92">
        <f>'кэш-флоу'!$B$57/18</f>
        <v>444.44444444444446</v>
      </c>
      <c r="S58" s="92">
        <f>'кэш-флоу'!$B$57/18</f>
        <v>444.44444444444446</v>
      </c>
      <c r="T58" s="92">
        <f>'кэш-флоу'!$B$57/18</f>
        <v>444.44444444444446</v>
      </c>
      <c r="U58" s="73">
        <f t="shared" si="38"/>
        <v>5333.333333333333</v>
      </c>
      <c r="V58" s="74">
        <f t="shared" si="39"/>
        <v>8000</v>
      </c>
      <c r="W58" s="114">
        <f>V58</f>
        <v>8000</v>
      </c>
    </row>
    <row r="59" spans="1:23" ht="12.75" outlineLevel="1">
      <c r="A59" s="76" t="s">
        <v>72</v>
      </c>
      <c r="B59" s="92">
        <f>'кэш-флоу'!$B$58/18</f>
        <v>222.22222222222223</v>
      </c>
      <c r="C59" s="92">
        <f>'кэш-флоу'!$B$58/18</f>
        <v>222.22222222222223</v>
      </c>
      <c r="D59" s="92">
        <f>'кэш-флоу'!$B$58/18</f>
        <v>222.22222222222223</v>
      </c>
      <c r="E59" s="92">
        <f>'кэш-флоу'!$B$58/18</f>
        <v>222.22222222222223</v>
      </c>
      <c r="F59" s="92">
        <f>'кэш-флоу'!$B$58/18</f>
        <v>222.22222222222223</v>
      </c>
      <c r="G59" s="92">
        <f>'кэш-флоу'!$B$58/18</f>
        <v>222.22222222222223</v>
      </c>
      <c r="H59" s="72">
        <f t="shared" si="37"/>
        <v>1333.3333333333333</v>
      </c>
      <c r="I59" s="92">
        <f>'кэш-флоу'!$B$58/18</f>
        <v>222.22222222222223</v>
      </c>
      <c r="J59" s="92">
        <f>'кэш-флоу'!$B$58/18</f>
        <v>222.22222222222223</v>
      </c>
      <c r="K59" s="92">
        <f>'кэш-флоу'!$B$58/18</f>
        <v>222.22222222222223</v>
      </c>
      <c r="L59" s="92">
        <f>'кэш-флоу'!$B$58/18</f>
        <v>222.22222222222223</v>
      </c>
      <c r="M59" s="92">
        <f>'кэш-флоу'!$B$58/18</f>
        <v>222.22222222222223</v>
      </c>
      <c r="N59" s="92">
        <f>'кэш-флоу'!$B$58/18</f>
        <v>222.22222222222223</v>
      </c>
      <c r="O59" s="92">
        <f>'кэш-флоу'!$B$58/18</f>
        <v>222.22222222222223</v>
      </c>
      <c r="P59" s="92">
        <f>'кэш-флоу'!$B$58/18</f>
        <v>222.22222222222223</v>
      </c>
      <c r="Q59" s="92">
        <f>'кэш-флоу'!$B$58/18</f>
        <v>222.22222222222223</v>
      </c>
      <c r="R59" s="92">
        <f>'кэш-флоу'!$B$58/18</f>
        <v>222.22222222222223</v>
      </c>
      <c r="S59" s="92">
        <f>'кэш-флоу'!$B$58/18</f>
        <v>222.22222222222223</v>
      </c>
      <c r="T59" s="92">
        <f>'кэш-флоу'!$B$58/18</f>
        <v>222.22222222222223</v>
      </c>
      <c r="U59" s="73">
        <f t="shared" si="38"/>
        <v>2666.6666666666665</v>
      </c>
      <c r="V59" s="74">
        <f t="shared" si="39"/>
        <v>4000</v>
      </c>
      <c r="W59" s="114">
        <f>V59</f>
        <v>4000</v>
      </c>
    </row>
    <row r="60" spans="1:23" ht="12.75">
      <c r="A60" s="87" t="s">
        <v>73</v>
      </c>
      <c r="B60" s="92">
        <f>B31-B56-B57</f>
        <v>-2177.333333333333</v>
      </c>
      <c r="C60" s="92">
        <f aca="true" t="shared" si="46" ref="C60:R60">C31-C56-C57</f>
        <v>-2893.333333333333</v>
      </c>
      <c r="D60" s="92">
        <f t="shared" si="46"/>
        <v>-2673.333333333333</v>
      </c>
      <c r="E60" s="92">
        <f t="shared" si="46"/>
        <v>-1763.3333333333333</v>
      </c>
      <c r="F60" s="92">
        <f t="shared" si="46"/>
        <v>-320.83333333333326</v>
      </c>
      <c r="G60" s="92">
        <f t="shared" si="46"/>
        <v>151.66666666666674</v>
      </c>
      <c r="H60" s="72">
        <f t="shared" si="37"/>
        <v>-9676.5</v>
      </c>
      <c r="I60" s="92">
        <f t="shared" si="46"/>
        <v>831.6666666666672</v>
      </c>
      <c r="J60" s="92">
        <f t="shared" si="46"/>
        <v>2524.166666666667</v>
      </c>
      <c r="K60" s="92">
        <f t="shared" si="46"/>
        <v>2735.916666666667</v>
      </c>
      <c r="L60" s="92">
        <f t="shared" si="46"/>
        <v>3668.841666666667</v>
      </c>
      <c r="M60" s="92">
        <f t="shared" si="46"/>
        <v>3925.059166666667</v>
      </c>
      <c r="N60" s="92">
        <f t="shared" si="46"/>
        <v>4906.898416666668</v>
      </c>
      <c r="O60" s="92">
        <f t="shared" si="46"/>
        <v>4561.92159166667</v>
      </c>
      <c r="P60" s="92">
        <f t="shared" si="46"/>
        <v>4902.947084166669</v>
      </c>
      <c r="Q60" s="92">
        <f t="shared" si="46"/>
        <v>7063.075125916669</v>
      </c>
      <c r="R60" s="92">
        <f t="shared" si="46"/>
        <v>7475.715971841671</v>
      </c>
      <c r="S60" s="92">
        <f>S31-S56-S57</f>
        <v>8139.62090235917</v>
      </c>
      <c r="T60" s="92">
        <f>T31-T56-T57</f>
        <v>8638.916325928423</v>
      </c>
      <c r="U60" s="84">
        <f t="shared" si="38"/>
        <v>59374.74625187928</v>
      </c>
      <c r="V60" s="85">
        <f t="shared" si="39"/>
        <v>49698.24625187928</v>
      </c>
      <c r="W60" s="111">
        <f>W31-W56-W57</f>
        <v>78713.01330585338</v>
      </c>
    </row>
    <row r="61" spans="1:23" ht="25.5">
      <c r="A61" s="81" t="s">
        <v>74</v>
      </c>
      <c r="B61" s="63">
        <f>B62+B63+B64+B65+B66+B67</f>
        <v>200</v>
      </c>
      <c r="C61" s="77">
        <f aca="true" t="shared" si="47" ref="C61:R61">C62+C63+C64+C65+C66+C67</f>
        <v>480.00000000000006</v>
      </c>
      <c r="D61" s="77">
        <f t="shared" si="47"/>
        <v>686.4000000000001</v>
      </c>
      <c r="E61" s="77">
        <f t="shared" si="47"/>
        <v>845.28</v>
      </c>
      <c r="F61" s="77">
        <f t="shared" si="47"/>
        <v>946.2000000000002</v>
      </c>
      <c r="G61" s="77">
        <f t="shared" si="47"/>
        <v>977.52</v>
      </c>
      <c r="H61" s="69">
        <f t="shared" si="37"/>
        <v>4135.400000000001</v>
      </c>
      <c r="I61" s="77">
        <f t="shared" si="47"/>
        <v>1236.7199999999998</v>
      </c>
      <c r="J61" s="77">
        <f t="shared" si="47"/>
        <v>1302.2800000000002</v>
      </c>
      <c r="K61" s="77">
        <f t="shared" si="47"/>
        <v>1316.3160000000003</v>
      </c>
      <c r="L61" s="77">
        <f t="shared" si="47"/>
        <v>1378.1556</v>
      </c>
      <c r="M61" s="77">
        <f t="shared" si="47"/>
        <v>1395.1391600000002</v>
      </c>
      <c r="N61" s="77">
        <f t="shared" si="47"/>
        <v>1460.2210760000003</v>
      </c>
      <c r="O61" s="77">
        <f t="shared" si="47"/>
        <v>1857.0111836000003</v>
      </c>
      <c r="P61" s="77">
        <f t="shared" si="47"/>
        <v>1879.6163019600003</v>
      </c>
      <c r="Q61" s="77">
        <f t="shared" si="47"/>
        <v>2022.8019321560005</v>
      </c>
      <c r="R61" s="77">
        <f t="shared" si="47"/>
        <v>2050.1541253716005</v>
      </c>
      <c r="S61" s="77">
        <f>S62+S63+S64+S65+S66+S67</f>
        <v>2094.1615379087602</v>
      </c>
      <c r="T61" s="77">
        <f>T62+T63+T64+T65+T66+T67</f>
        <v>2127.257691699637</v>
      </c>
      <c r="U61" s="84">
        <f t="shared" si="38"/>
        <v>20119.834608696</v>
      </c>
      <c r="V61" s="85">
        <f t="shared" si="39"/>
        <v>24255.234608696002</v>
      </c>
      <c r="W61" s="111">
        <f>W62+W63+W64+W65+W66+W67</f>
        <v>6063.808652174</v>
      </c>
    </row>
    <row r="62" spans="1:23" ht="12.75" outlineLevel="1">
      <c r="A62" s="76" t="s">
        <v>75</v>
      </c>
      <c r="B62" s="93">
        <f>B34*0.28</f>
        <v>140</v>
      </c>
      <c r="C62" s="92">
        <f aca="true" t="shared" si="48" ref="C62:R62">C34*0.28</f>
        <v>336.00000000000006</v>
      </c>
      <c r="D62" s="92">
        <f t="shared" si="48"/>
        <v>476.00000000000006</v>
      </c>
      <c r="E62" s="92">
        <f t="shared" si="48"/>
        <v>579.6</v>
      </c>
      <c r="F62" s="92">
        <f t="shared" si="48"/>
        <v>640.5000000000001</v>
      </c>
      <c r="G62" s="92">
        <f t="shared" si="48"/>
        <v>659.4000000000001</v>
      </c>
      <c r="H62" s="72">
        <f t="shared" si="37"/>
        <v>2831.5000000000005</v>
      </c>
      <c r="I62" s="92">
        <f t="shared" si="48"/>
        <v>827.4000000000001</v>
      </c>
      <c r="J62" s="92">
        <f t="shared" si="48"/>
        <v>863.1000000000001</v>
      </c>
      <c r="K62" s="92">
        <f t="shared" si="48"/>
        <v>871.57</v>
      </c>
      <c r="L62" s="92">
        <f t="shared" si="48"/>
        <v>908.8870000000001</v>
      </c>
      <c r="M62" s="92">
        <f t="shared" si="48"/>
        <v>919.1357000000002</v>
      </c>
      <c r="N62" s="92">
        <f t="shared" si="48"/>
        <v>958.4092700000002</v>
      </c>
      <c r="O62" s="92">
        <f t="shared" si="48"/>
        <v>1232.6101970000002</v>
      </c>
      <c r="P62" s="92">
        <f t="shared" si="48"/>
        <v>1246.2512167000002</v>
      </c>
      <c r="Q62" s="92">
        <f t="shared" si="48"/>
        <v>1332.6563383700002</v>
      </c>
      <c r="R62" s="92">
        <f t="shared" si="48"/>
        <v>1349.1619722070002</v>
      </c>
      <c r="S62" s="92">
        <f>S34*0.28</f>
        <v>1375.7181694277003</v>
      </c>
      <c r="T62" s="92">
        <f>T34*0.28</f>
        <v>1395.6899863704705</v>
      </c>
      <c r="U62" s="84">
        <f t="shared" si="38"/>
        <v>13280.589850075174</v>
      </c>
      <c r="V62" s="85">
        <f t="shared" si="39"/>
        <v>16112.089850075174</v>
      </c>
      <c r="W62" s="109">
        <f aca="true" t="shared" si="49" ref="W62:W67">V62*$W$76/100</f>
        <v>4028.022462518793</v>
      </c>
    </row>
    <row r="63" spans="1:23" ht="12.75" outlineLevel="1">
      <c r="A63" s="76" t="s">
        <v>76</v>
      </c>
      <c r="B63" s="93">
        <f>B34*0.054</f>
        <v>27</v>
      </c>
      <c r="C63" s="92">
        <f aca="true" t="shared" si="50" ref="C63:R63">C34*0.054</f>
        <v>64.8</v>
      </c>
      <c r="D63" s="92">
        <f t="shared" si="50"/>
        <v>91.8</v>
      </c>
      <c r="E63" s="92">
        <f t="shared" si="50"/>
        <v>111.78</v>
      </c>
      <c r="F63" s="92">
        <f t="shared" si="50"/>
        <v>123.525</v>
      </c>
      <c r="G63" s="92">
        <f t="shared" si="50"/>
        <v>127.17</v>
      </c>
      <c r="H63" s="72">
        <f t="shared" si="37"/>
        <v>546.0749999999999</v>
      </c>
      <c r="I63" s="92">
        <f t="shared" si="50"/>
        <v>159.57</v>
      </c>
      <c r="J63" s="92">
        <f t="shared" si="50"/>
        <v>166.45499999999998</v>
      </c>
      <c r="K63" s="92">
        <f t="shared" si="50"/>
        <v>168.0885</v>
      </c>
      <c r="L63" s="92">
        <f t="shared" si="50"/>
        <v>175.28535</v>
      </c>
      <c r="M63" s="92">
        <f t="shared" si="50"/>
        <v>177.261885</v>
      </c>
      <c r="N63" s="92">
        <f t="shared" si="50"/>
        <v>184.83607350000003</v>
      </c>
      <c r="O63" s="92">
        <f t="shared" si="50"/>
        <v>237.71768085000002</v>
      </c>
      <c r="P63" s="92">
        <f t="shared" si="50"/>
        <v>240.34844893500002</v>
      </c>
      <c r="Q63" s="92">
        <f t="shared" si="50"/>
        <v>257.0122938285</v>
      </c>
      <c r="R63" s="92">
        <f t="shared" si="50"/>
        <v>260.19552321135</v>
      </c>
      <c r="S63" s="92">
        <f>S34*0.054</f>
        <v>265.31707553248503</v>
      </c>
      <c r="T63" s="92">
        <f>T34*0.054</f>
        <v>269.16878308573354</v>
      </c>
      <c r="U63" s="84">
        <f t="shared" si="38"/>
        <v>2561.2566139430687</v>
      </c>
      <c r="V63" s="85">
        <f t="shared" si="39"/>
        <v>3107.3316139430685</v>
      </c>
      <c r="W63" s="109">
        <f t="shared" si="49"/>
        <v>776.8329034857671</v>
      </c>
    </row>
    <row r="64" spans="1:23" ht="12.75" outlineLevel="1">
      <c r="A64" s="76" t="s">
        <v>77</v>
      </c>
      <c r="B64" s="93">
        <f>B34*0.036</f>
        <v>18</v>
      </c>
      <c r="C64" s="92">
        <f aca="true" t="shared" si="51" ref="C64:R64">C34*0.036</f>
        <v>43.199999999999996</v>
      </c>
      <c r="D64" s="92">
        <f t="shared" si="51"/>
        <v>61.199999999999996</v>
      </c>
      <c r="E64" s="92">
        <f t="shared" si="51"/>
        <v>74.52</v>
      </c>
      <c r="F64" s="92">
        <f t="shared" si="51"/>
        <v>82.35</v>
      </c>
      <c r="G64" s="92">
        <f t="shared" si="51"/>
        <v>84.77999999999999</v>
      </c>
      <c r="H64" s="72">
        <f t="shared" si="37"/>
        <v>364.04999999999995</v>
      </c>
      <c r="I64" s="92">
        <f t="shared" si="51"/>
        <v>106.38</v>
      </c>
      <c r="J64" s="92">
        <f t="shared" si="51"/>
        <v>110.96999999999998</v>
      </c>
      <c r="K64" s="92">
        <f t="shared" si="51"/>
        <v>112.059</v>
      </c>
      <c r="L64" s="92">
        <f t="shared" si="51"/>
        <v>116.8569</v>
      </c>
      <c r="M64" s="92">
        <f t="shared" si="51"/>
        <v>118.17459</v>
      </c>
      <c r="N64" s="92">
        <f t="shared" si="51"/>
        <v>123.22404900000001</v>
      </c>
      <c r="O64" s="92">
        <f t="shared" si="51"/>
        <v>158.4784539</v>
      </c>
      <c r="P64" s="92">
        <f t="shared" si="51"/>
        <v>160.23229929</v>
      </c>
      <c r="Q64" s="92">
        <f t="shared" si="51"/>
        <v>171.341529219</v>
      </c>
      <c r="R64" s="92">
        <f t="shared" si="51"/>
        <v>173.4636821409</v>
      </c>
      <c r="S64" s="92">
        <f>S34*0.036</f>
        <v>176.87805035499</v>
      </c>
      <c r="T64" s="92">
        <f>T34*0.036</f>
        <v>179.44585539048902</v>
      </c>
      <c r="U64" s="84">
        <f t="shared" si="38"/>
        <v>1707.504409295379</v>
      </c>
      <c r="V64" s="85">
        <f t="shared" si="39"/>
        <v>2071.5544092953787</v>
      </c>
      <c r="W64" s="109">
        <f t="shared" si="49"/>
        <v>517.8886023238447</v>
      </c>
    </row>
    <row r="65" spans="1:23" ht="12.75" outlineLevel="1">
      <c r="A65" s="76" t="s">
        <v>78</v>
      </c>
      <c r="B65" s="93">
        <f>B34*0.02</f>
        <v>10</v>
      </c>
      <c r="C65" s="92">
        <f aca="true" t="shared" si="52" ref="C65:R65">C34*0.02</f>
        <v>24</v>
      </c>
      <c r="D65" s="92">
        <f t="shared" si="52"/>
        <v>34</v>
      </c>
      <c r="E65" s="92">
        <f t="shared" si="52"/>
        <v>41.4</v>
      </c>
      <c r="F65" s="92">
        <f t="shared" si="52"/>
        <v>45.75</v>
      </c>
      <c r="G65" s="92">
        <f t="shared" si="52"/>
        <v>47.1</v>
      </c>
      <c r="H65" s="72">
        <f>SUM(B65:G65)</f>
        <v>202.25</v>
      </c>
      <c r="I65" s="92">
        <f t="shared" si="52"/>
        <v>59.1</v>
      </c>
      <c r="J65" s="92">
        <f t="shared" si="52"/>
        <v>61.65</v>
      </c>
      <c r="K65" s="92">
        <f t="shared" si="52"/>
        <v>62.255</v>
      </c>
      <c r="L65" s="92">
        <f t="shared" si="52"/>
        <v>64.9205</v>
      </c>
      <c r="M65" s="92">
        <f t="shared" si="52"/>
        <v>65.65255</v>
      </c>
      <c r="N65" s="92">
        <f t="shared" si="52"/>
        <v>68.45780500000001</v>
      </c>
      <c r="O65" s="92">
        <f t="shared" si="52"/>
        <v>88.0435855</v>
      </c>
      <c r="P65" s="92">
        <f t="shared" si="52"/>
        <v>89.01794405000001</v>
      </c>
      <c r="Q65" s="92">
        <f t="shared" si="52"/>
        <v>95.18973845500001</v>
      </c>
      <c r="R65" s="92">
        <f t="shared" si="52"/>
        <v>96.36871230050001</v>
      </c>
      <c r="S65" s="92">
        <f>S34*0.02</f>
        <v>98.26558353055002</v>
      </c>
      <c r="T65" s="92">
        <f>T34*0.02</f>
        <v>99.69214188360502</v>
      </c>
      <c r="U65" s="84">
        <f>SUM(I65:T65)</f>
        <v>948.613560719655</v>
      </c>
      <c r="V65" s="85">
        <f>SUM(H65,U65)</f>
        <v>1150.863560719655</v>
      </c>
      <c r="W65" s="109">
        <f t="shared" si="49"/>
        <v>287.71589017991374</v>
      </c>
    </row>
    <row r="66" spans="1:23" ht="12.75" outlineLevel="1">
      <c r="A66" s="76" t="s">
        <v>79</v>
      </c>
      <c r="B66" s="93">
        <f>B34*0.01</f>
        <v>5</v>
      </c>
      <c r="C66" s="92">
        <f aca="true" t="shared" si="53" ref="C66:R66">C34*0.01</f>
        <v>12</v>
      </c>
      <c r="D66" s="92">
        <f t="shared" si="53"/>
        <v>17</v>
      </c>
      <c r="E66" s="92">
        <f t="shared" si="53"/>
        <v>20.7</v>
      </c>
      <c r="F66" s="92">
        <f t="shared" si="53"/>
        <v>22.875</v>
      </c>
      <c r="G66" s="92">
        <f t="shared" si="53"/>
        <v>23.55</v>
      </c>
      <c r="H66" s="72">
        <f>SUM(B66:G66)</f>
        <v>101.125</v>
      </c>
      <c r="I66" s="92">
        <f t="shared" si="53"/>
        <v>29.55</v>
      </c>
      <c r="J66" s="92">
        <f t="shared" si="53"/>
        <v>30.825</v>
      </c>
      <c r="K66" s="92">
        <f t="shared" si="53"/>
        <v>31.1275</v>
      </c>
      <c r="L66" s="92">
        <f t="shared" si="53"/>
        <v>32.46025</v>
      </c>
      <c r="M66" s="92">
        <f t="shared" si="53"/>
        <v>32.826275</v>
      </c>
      <c r="N66" s="92">
        <f t="shared" si="53"/>
        <v>34.228902500000004</v>
      </c>
      <c r="O66" s="92">
        <f t="shared" si="53"/>
        <v>44.02179275</v>
      </c>
      <c r="P66" s="92">
        <f t="shared" si="53"/>
        <v>44.508972025000006</v>
      </c>
      <c r="Q66" s="92">
        <f t="shared" si="53"/>
        <v>47.594869227500006</v>
      </c>
      <c r="R66" s="92">
        <f t="shared" si="53"/>
        <v>48.184356150250004</v>
      </c>
      <c r="S66" s="92">
        <f>S34*0.01</f>
        <v>49.13279176527501</v>
      </c>
      <c r="T66" s="92">
        <f>T34*0.01</f>
        <v>49.84607094180251</v>
      </c>
      <c r="U66" s="84">
        <f>SUM(I66:T66)</f>
        <v>474.3067803598275</v>
      </c>
      <c r="V66" s="85">
        <f>SUM(H66,U66)</f>
        <v>575.4317803598275</v>
      </c>
      <c r="W66" s="109">
        <f t="shared" si="49"/>
        <v>143.85794508995687</v>
      </c>
    </row>
    <row r="67" spans="1:23" ht="12.75" outlineLevel="1">
      <c r="A67" s="76" t="s">
        <v>80</v>
      </c>
      <c r="B67" s="93">
        <f>B31*0.008</f>
        <v>0</v>
      </c>
      <c r="C67" s="93">
        <f aca="true" t="shared" si="54" ref="C67:R67">C31*0.008</f>
        <v>0</v>
      </c>
      <c r="D67" s="93">
        <f t="shared" si="54"/>
        <v>6.4</v>
      </c>
      <c r="E67" s="93">
        <f t="shared" si="54"/>
        <v>17.28</v>
      </c>
      <c r="F67" s="93">
        <f t="shared" si="54"/>
        <v>31.2</v>
      </c>
      <c r="G67" s="93">
        <f t="shared" si="54"/>
        <v>35.52</v>
      </c>
      <c r="H67" s="72">
        <f>SUM(B67:G67)</f>
        <v>90.4</v>
      </c>
      <c r="I67" s="92">
        <f t="shared" si="54"/>
        <v>54.72</v>
      </c>
      <c r="J67" s="92">
        <f t="shared" si="54"/>
        <v>69.28</v>
      </c>
      <c r="K67" s="92">
        <f t="shared" si="54"/>
        <v>71.21600000000001</v>
      </c>
      <c r="L67" s="92">
        <f t="shared" si="54"/>
        <v>79.74560000000001</v>
      </c>
      <c r="M67" s="92">
        <f t="shared" si="54"/>
        <v>82.08816</v>
      </c>
      <c r="N67" s="92">
        <f t="shared" si="54"/>
        <v>91.06497600000002</v>
      </c>
      <c r="O67" s="92">
        <f t="shared" si="54"/>
        <v>96.13947360000003</v>
      </c>
      <c r="P67" s="92">
        <f t="shared" si="54"/>
        <v>99.25742096000002</v>
      </c>
      <c r="Q67" s="92">
        <f t="shared" si="54"/>
        <v>119.00716305600002</v>
      </c>
      <c r="R67" s="92">
        <f t="shared" si="54"/>
        <v>122.77987936160004</v>
      </c>
      <c r="S67" s="92">
        <f>S31*0.008</f>
        <v>128.84986729776003</v>
      </c>
      <c r="T67" s="92">
        <f>T31*0.008</f>
        <v>133.41485402753605</v>
      </c>
      <c r="U67" s="84">
        <f>SUM(I67:T67)</f>
        <v>1147.563394302896</v>
      </c>
      <c r="V67" s="85">
        <f>SUM(H67,U67)</f>
        <v>1237.9633943028962</v>
      </c>
      <c r="W67" s="109">
        <f t="shared" si="49"/>
        <v>309.49084857572404</v>
      </c>
    </row>
    <row r="68" spans="1:23" ht="12.75">
      <c r="A68" s="91" t="s">
        <v>81</v>
      </c>
      <c r="B68" s="105">
        <f>B60-B61</f>
        <v>-2377.333333333333</v>
      </c>
      <c r="C68" s="105">
        <f>C60-C61</f>
        <v>-3373.333333333333</v>
      </c>
      <c r="D68" s="105">
        <f>D60-D61</f>
        <v>-3359.733333333333</v>
      </c>
      <c r="E68" s="105">
        <f>E60-E61</f>
        <v>-2608.6133333333332</v>
      </c>
      <c r="F68" s="105">
        <f>F60-F61</f>
        <v>-1267.0333333333333</v>
      </c>
      <c r="G68" s="105">
        <f aca="true" t="shared" si="55" ref="G68:S68">G60-G61</f>
        <v>-825.8533333333332</v>
      </c>
      <c r="H68" s="69">
        <f>SUM(B68:G68)</f>
        <v>-13811.899999999998</v>
      </c>
      <c r="I68" s="105">
        <f t="shared" si="55"/>
        <v>-405.0533333333326</v>
      </c>
      <c r="J68" s="105">
        <f t="shared" si="55"/>
        <v>1221.8866666666668</v>
      </c>
      <c r="K68" s="105">
        <f t="shared" si="55"/>
        <v>1419.6006666666667</v>
      </c>
      <c r="L68" s="105">
        <f t="shared" si="55"/>
        <v>2290.686066666667</v>
      </c>
      <c r="M68" s="105">
        <f t="shared" si="55"/>
        <v>2529.9200066666667</v>
      </c>
      <c r="N68" s="105">
        <f t="shared" si="55"/>
        <v>3446.6773406666675</v>
      </c>
      <c r="O68" s="105">
        <f t="shared" si="55"/>
        <v>2704.9104080666693</v>
      </c>
      <c r="P68" s="105">
        <f t="shared" si="55"/>
        <v>3023.3307822066686</v>
      </c>
      <c r="Q68" s="105">
        <f t="shared" si="55"/>
        <v>5040.273193760669</v>
      </c>
      <c r="R68" s="105">
        <f t="shared" si="55"/>
        <v>5425.56184647007</v>
      </c>
      <c r="S68" s="105">
        <f t="shared" si="55"/>
        <v>6045.459364450409</v>
      </c>
      <c r="T68" s="105">
        <f>T60-T61</f>
        <v>6511.6586342287865</v>
      </c>
      <c r="U68" s="84">
        <f>SUM(I68:T68)</f>
        <v>39254.91164318327</v>
      </c>
      <c r="V68" s="85">
        <f>SUM(H68,U68)</f>
        <v>25443.011643183276</v>
      </c>
      <c r="W68" s="112">
        <f>W60-W61</f>
        <v>72649.20465367938</v>
      </c>
    </row>
    <row r="69" spans="1:23" ht="12.75">
      <c r="A69" s="153" t="s">
        <v>82</v>
      </c>
      <c r="B69" s="77">
        <f aca="true" t="shared" si="56" ref="B69:Q69">SUM(B70:B72)</f>
        <v>0</v>
      </c>
      <c r="C69" s="77">
        <f t="shared" si="56"/>
        <v>0</v>
      </c>
      <c r="D69" s="77">
        <f t="shared" si="56"/>
        <v>0</v>
      </c>
      <c r="E69" s="77">
        <f t="shared" si="56"/>
        <v>0</v>
      </c>
      <c r="F69" s="77">
        <f t="shared" si="56"/>
        <v>0</v>
      </c>
      <c r="G69" s="77">
        <f t="shared" si="56"/>
        <v>0</v>
      </c>
      <c r="H69" s="72">
        <f>SUM(B69:G69)</f>
        <v>0</v>
      </c>
      <c r="I69" s="77">
        <f t="shared" si="56"/>
        <v>0</v>
      </c>
      <c r="J69" s="77">
        <f t="shared" si="56"/>
        <v>177.0625</v>
      </c>
      <c r="K69" s="77">
        <f t="shared" si="56"/>
        <v>167.81874999999997</v>
      </c>
      <c r="L69" s="77">
        <f t="shared" si="56"/>
        <v>161.150625</v>
      </c>
      <c r="M69" s="77">
        <f t="shared" si="56"/>
        <v>152.06568749999997</v>
      </c>
      <c r="N69" s="77">
        <f t="shared" si="56"/>
        <v>145.57225625</v>
      </c>
      <c r="O69" s="77">
        <f t="shared" si="56"/>
        <v>160.05448187499996</v>
      </c>
      <c r="P69" s="77">
        <f t="shared" si="56"/>
        <v>151.2724300625</v>
      </c>
      <c r="Q69" s="77">
        <f t="shared" si="56"/>
        <v>148.98717306874997</v>
      </c>
      <c r="R69" s="77">
        <f>SUM(R70:R72)</f>
        <v>140.46089037562498</v>
      </c>
      <c r="S69" s="77">
        <f>SUM(S70:S72)</f>
        <v>132.83197941318753</v>
      </c>
      <c r="T69" s="77">
        <f>SUM(T70:T72)</f>
        <v>124.61517735450624</v>
      </c>
      <c r="U69" s="73">
        <f aca="true" t="shared" si="57" ref="U69:U75">SUM(I69:T69)</f>
        <v>1661.8919508995687</v>
      </c>
      <c r="V69" s="74">
        <f aca="true" t="shared" si="58" ref="V69:V75">SUM(H69,U69)</f>
        <v>1661.8919508995687</v>
      </c>
      <c r="W69" s="116">
        <f>SUM(W70:W72)</f>
        <v>415.47298772489216</v>
      </c>
    </row>
    <row r="70" spans="1:23" ht="12.75" outlineLevel="1">
      <c r="A70" s="76" t="s">
        <v>83</v>
      </c>
      <c r="B70" s="57">
        <f>IF(B$68&lt;=0,0,B$34*0.01)</f>
        <v>0</v>
      </c>
      <c r="C70" s="57">
        <f aca="true" t="shared" si="59" ref="C70:R71">IF(C$68&lt;=0,0,C$34*0.01)</f>
        <v>0</v>
      </c>
      <c r="D70" s="57">
        <f t="shared" si="59"/>
        <v>0</v>
      </c>
      <c r="E70" s="57">
        <f t="shared" si="59"/>
        <v>0</v>
      </c>
      <c r="F70" s="57">
        <f t="shared" si="59"/>
        <v>0</v>
      </c>
      <c r="G70" s="57">
        <f t="shared" si="59"/>
        <v>0</v>
      </c>
      <c r="H70" s="94">
        <f t="shared" si="59"/>
        <v>0</v>
      </c>
      <c r="I70" s="57">
        <f t="shared" si="59"/>
        <v>0</v>
      </c>
      <c r="J70" s="57">
        <f t="shared" si="59"/>
        <v>30.825</v>
      </c>
      <c r="K70" s="57">
        <f t="shared" si="59"/>
        <v>31.1275</v>
      </c>
      <c r="L70" s="57">
        <f t="shared" si="59"/>
        <v>32.46025</v>
      </c>
      <c r="M70" s="57">
        <f t="shared" si="59"/>
        <v>32.826275</v>
      </c>
      <c r="N70" s="57">
        <f t="shared" si="59"/>
        <v>34.228902500000004</v>
      </c>
      <c r="O70" s="57">
        <f t="shared" si="59"/>
        <v>44.02179275</v>
      </c>
      <c r="P70" s="57">
        <f t="shared" si="59"/>
        <v>44.508972025000006</v>
      </c>
      <c r="Q70" s="57">
        <f t="shared" si="59"/>
        <v>47.594869227500006</v>
      </c>
      <c r="R70" s="57">
        <f t="shared" si="59"/>
        <v>48.184356150250004</v>
      </c>
      <c r="S70" s="57">
        <f>IF(S$68&lt;=0,0,S$34*0.01)</f>
        <v>49.13279176527501</v>
      </c>
      <c r="T70" s="57">
        <f>IF(T$68&lt;=0,0,T$34*0.01)</f>
        <v>49.84607094180251</v>
      </c>
      <c r="U70" s="73">
        <f t="shared" si="57"/>
        <v>444.7567803598275</v>
      </c>
      <c r="V70" s="74">
        <f t="shared" si="58"/>
        <v>444.7567803598275</v>
      </c>
      <c r="W70" s="109">
        <f>V70*$W$76/100</f>
        <v>111.18919508995687</v>
      </c>
    </row>
    <row r="71" spans="1:23" ht="12.75" outlineLevel="1">
      <c r="A71" s="76" t="s">
        <v>84</v>
      </c>
      <c r="B71" s="56">
        <f>IF(B68&lt;=0,0,(SUM($B57:$G57,$I57:$T57)-B57*'кэш-флоу'!B2)*0.015)</f>
        <v>0</v>
      </c>
      <c r="C71" s="56">
        <f>IF(C68&lt;=0,0,(SUM($B57:$G57,$I57:$T57)-C57*'кэш-флоу'!C2)*0.015)</f>
        <v>0</v>
      </c>
      <c r="D71" s="56">
        <f>IF(D68&lt;=0,0,(SUM($B57:$G57,$I57:$T57)-D57*'кэш-флоу'!D2)*0.015)</f>
        <v>0</v>
      </c>
      <c r="E71" s="56">
        <f>IF(E68&lt;=0,0,(SUM($B57:$G57,$I57:$T57)-E57*'кэш-флоу'!E2)*0.015)</f>
        <v>0</v>
      </c>
      <c r="F71" s="56">
        <f>IF(F68&lt;=0,0,(SUM($B57:$G57,$I57:$T57)-F57*'кэш-флоу'!F2)*0.015)</f>
        <v>0</v>
      </c>
      <c r="G71" s="56">
        <f>IF(G68&lt;=0,0,(SUM($B57:$G57,$I57:$T57)-G57*'кэш-флоу'!G2)*0.015)</f>
        <v>0</v>
      </c>
      <c r="H71" s="94">
        <f t="shared" si="59"/>
        <v>0</v>
      </c>
      <c r="I71" s="56">
        <f>IF(I68&lt;=0,0,(SUM($B57:$G57,$I57:$T57)-I57*'кэш-флоу'!I2)*0.015)</f>
        <v>0</v>
      </c>
      <c r="J71" s="56">
        <f>IF(J68&lt;=0,0,(SUM($B57:$G57,$I57:$T57)-J57*'кэш-флоу'!J2)*0.015)</f>
        <v>99.99999999999999</v>
      </c>
      <c r="K71" s="56">
        <f>IF(K68&lt;=0,0,(SUM($B57:$G57,$I57:$T57)-K57*'кэш-флоу'!K2)*0.015)</f>
        <v>89.99999999999999</v>
      </c>
      <c r="L71" s="56">
        <f>IF(L68&lt;=0,0,(SUM($B57:$G57,$I57:$T57)-L57*'кэш-флоу'!L2)*0.015)</f>
        <v>79.99999999999999</v>
      </c>
      <c r="M71" s="56">
        <f>IF(M68&lt;=0,0,(SUM($B57:$G57,$I57:$T57)-M57*'кэш-флоу'!M2)*0.015)</f>
        <v>69.99999999999999</v>
      </c>
      <c r="N71" s="56">
        <f>IF(N68&lt;=0,0,(SUM($B57:$G57,$I57:$T57)-N57*'кэш-флоу'!N2)*0.015)</f>
        <v>59.999999999999986</v>
      </c>
      <c r="O71" s="56">
        <f>IF(O68&lt;=0,0,(SUM($B57:$G57,$I57:$T57)-O57*'кэш-флоу'!O2)*0.015)</f>
        <v>49.99999999999998</v>
      </c>
      <c r="P71" s="56">
        <f>IF(P68&lt;=0,0,(SUM($B57:$G57,$I57:$T57)-P57*'кэш-флоу'!P2)*0.015)</f>
        <v>39.99999999999999</v>
      </c>
      <c r="Q71" s="56">
        <f>IF(Q68&lt;=0,0,(SUM($B57:$G57,$I57:$T57)-Q57*'кэш-флоу'!Q2)*0.015)</f>
        <v>29.99999999999997</v>
      </c>
      <c r="R71" s="56">
        <f>IF(R68&lt;=0,0,(SUM($B57:$G57,$I57:$T57)-R57*'кэш-флоу'!R2)*0.015)</f>
        <v>19.999999999999982</v>
      </c>
      <c r="S71" s="56">
        <f>IF(S68&lt;=0,0,(SUM($B57:$G57,$I57:$T57)-S57*'кэш-флоу'!S2)*0.015)</f>
        <v>9.999999999999991</v>
      </c>
      <c r="T71" s="56">
        <f>IF(T68&lt;=0,0,(SUM($B57:$G57,$I57:$T57)-T57*'кэш-флоу'!T2)*0.015)</f>
        <v>-2.7284841053187846E-14</v>
      </c>
      <c r="U71" s="73">
        <f t="shared" si="57"/>
        <v>549.9999999999999</v>
      </c>
      <c r="V71" s="74">
        <f t="shared" si="58"/>
        <v>549.9999999999999</v>
      </c>
      <c r="W71" s="109">
        <f>V71*$W$76/100</f>
        <v>137.49999999999997</v>
      </c>
    </row>
    <row r="72" spans="1:23" ht="12.75" outlineLevel="1">
      <c r="A72" s="76" t="s">
        <v>85</v>
      </c>
      <c r="B72" s="57">
        <f>IF(B$68&lt;=0,0,B$34*0.015)</f>
        <v>0</v>
      </c>
      <c r="C72" s="57">
        <f aca="true" t="shared" si="60" ref="C72:R72">IF(C$68&lt;=0,0,C$34*0.015)</f>
        <v>0</v>
      </c>
      <c r="D72" s="57">
        <f t="shared" si="60"/>
        <v>0</v>
      </c>
      <c r="E72" s="57">
        <f t="shared" si="60"/>
        <v>0</v>
      </c>
      <c r="F72" s="57">
        <f t="shared" si="60"/>
        <v>0</v>
      </c>
      <c r="G72" s="57">
        <f t="shared" si="60"/>
        <v>0</v>
      </c>
      <c r="H72" s="94">
        <f t="shared" si="60"/>
        <v>0</v>
      </c>
      <c r="I72" s="57">
        <f t="shared" si="60"/>
        <v>0</v>
      </c>
      <c r="J72" s="57">
        <f t="shared" si="60"/>
        <v>46.2375</v>
      </c>
      <c r="K72" s="57">
        <f t="shared" si="60"/>
        <v>46.69125</v>
      </c>
      <c r="L72" s="57">
        <f t="shared" si="60"/>
        <v>48.690375</v>
      </c>
      <c r="M72" s="57">
        <f t="shared" si="60"/>
        <v>49.2394125</v>
      </c>
      <c r="N72" s="57">
        <f t="shared" si="60"/>
        <v>51.343353750000006</v>
      </c>
      <c r="O72" s="57">
        <f t="shared" si="60"/>
        <v>66.032689125</v>
      </c>
      <c r="P72" s="57">
        <f t="shared" si="60"/>
        <v>66.7634580375</v>
      </c>
      <c r="Q72" s="57">
        <f t="shared" si="60"/>
        <v>71.39230384125</v>
      </c>
      <c r="R72" s="57">
        <f t="shared" si="60"/>
        <v>72.276534225375</v>
      </c>
      <c r="S72" s="57">
        <f>IF(S$68&lt;=0,0,S$34*0.015)</f>
        <v>73.69918764791251</v>
      </c>
      <c r="T72" s="57">
        <f>IF(T$68&lt;=0,0,T$34*0.015)</f>
        <v>74.76910641270376</v>
      </c>
      <c r="U72" s="73">
        <f t="shared" si="57"/>
        <v>667.1351705397412</v>
      </c>
      <c r="V72" s="74">
        <f t="shared" si="58"/>
        <v>667.1351705397412</v>
      </c>
      <c r="W72" s="109">
        <f>V72*$W$76/100</f>
        <v>166.7837926349353</v>
      </c>
    </row>
    <row r="73" spans="1:23" ht="12.75">
      <c r="A73" s="87" t="s">
        <v>86</v>
      </c>
      <c r="B73" s="104">
        <f aca="true" t="shared" si="61" ref="B73:Q73">B68-B69</f>
        <v>-2377.333333333333</v>
      </c>
      <c r="C73" s="104">
        <f t="shared" si="61"/>
        <v>-3373.333333333333</v>
      </c>
      <c r="D73" s="104">
        <f t="shared" si="61"/>
        <v>-3359.733333333333</v>
      </c>
      <c r="E73" s="104">
        <f t="shared" si="61"/>
        <v>-2608.6133333333332</v>
      </c>
      <c r="F73" s="104">
        <f>F68-F69</f>
        <v>-1267.0333333333333</v>
      </c>
      <c r="G73" s="104">
        <f t="shared" si="61"/>
        <v>-825.8533333333332</v>
      </c>
      <c r="H73" s="69">
        <f>SUM(B73:G73)</f>
        <v>-13811.899999999998</v>
      </c>
      <c r="I73" s="104">
        <f t="shared" si="61"/>
        <v>-405.0533333333326</v>
      </c>
      <c r="J73" s="104">
        <f t="shared" si="61"/>
        <v>1044.8241666666668</v>
      </c>
      <c r="K73" s="104">
        <f t="shared" si="61"/>
        <v>1251.7819166666668</v>
      </c>
      <c r="L73" s="104">
        <f t="shared" si="61"/>
        <v>2129.535441666667</v>
      </c>
      <c r="M73" s="104">
        <f t="shared" si="61"/>
        <v>2377.8543191666668</v>
      </c>
      <c r="N73" s="104">
        <f t="shared" si="61"/>
        <v>3301.1050844166675</v>
      </c>
      <c r="O73" s="104">
        <f t="shared" si="61"/>
        <v>2544.8559261916694</v>
      </c>
      <c r="P73" s="104">
        <f t="shared" si="61"/>
        <v>2872.0583521441686</v>
      </c>
      <c r="Q73" s="104">
        <f t="shared" si="61"/>
        <v>4891.286020691919</v>
      </c>
      <c r="R73" s="104">
        <f>R68-R69</f>
        <v>5285.100956094445</v>
      </c>
      <c r="S73" s="104">
        <f>S68-S69</f>
        <v>5912.627385037222</v>
      </c>
      <c r="T73" s="104">
        <f>T68-T69</f>
        <v>6387.04345687428</v>
      </c>
      <c r="U73" s="84">
        <f t="shared" si="57"/>
        <v>37593.0196922837</v>
      </c>
      <c r="V73" s="85">
        <f t="shared" si="58"/>
        <v>23781.1196922837</v>
      </c>
      <c r="W73" s="112">
        <f>W68-W69</f>
        <v>72233.73166595449</v>
      </c>
    </row>
    <row r="74" spans="1:23" ht="12.75">
      <c r="A74" s="153" t="s">
        <v>87</v>
      </c>
      <c r="B74" s="104">
        <f aca="true" t="shared" si="62" ref="B74:G74">IF(B73&lt;=0,0,B73*0.35)</f>
        <v>0</v>
      </c>
      <c r="C74" s="104">
        <f t="shared" si="62"/>
        <v>0</v>
      </c>
      <c r="D74" s="104">
        <f t="shared" si="62"/>
        <v>0</v>
      </c>
      <c r="E74" s="104">
        <f t="shared" si="62"/>
        <v>0</v>
      </c>
      <c r="F74" s="104">
        <f t="shared" si="62"/>
        <v>0</v>
      </c>
      <c r="G74" s="104">
        <f t="shared" si="62"/>
        <v>0</v>
      </c>
      <c r="H74" s="72">
        <f>SUM(B74:G74)</f>
        <v>0</v>
      </c>
      <c r="I74" s="104">
        <f>IF(I73&lt;=0,0,I73*0.35)</f>
        <v>0</v>
      </c>
      <c r="J74" s="104">
        <f aca="true" t="shared" si="63" ref="J74:T74">IF(J73&lt;=0,0,J73*0.35)</f>
        <v>365.68845833333336</v>
      </c>
      <c r="K74" s="104">
        <f t="shared" si="63"/>
        <v>438.12367083333334</v>
      </c>
      <c r="L74" s="104">
        <f t="shared" si="63"/>
        <v>745.3374045833334</v>
      </c>
      <c r="M74" s="104">
        <f t="shared" si="63"/>
        <v>832.2490117083333</v>
      </c>
      <c r="N74" s="104">
        <f t="shared" si="63"/>
        <v>1155.3867795458336</v>
      </c>
      <c r="O74" s="104">
        <f t="shared" si="63"/>
        <v>890.6995741670843</v>
      </c>
      <c r="P74" s="104">
        <f t="shared" si="63"/>
        <v>1005.2204232504589</v>
      </c>
      <c r="Q74" s="104">
        <f t="shared" si="63"/>
        <v>1711.9501072421715</v>
      </c>
      <c r="R74" s="104">
        <f t="shared" si="63"/>
        <v>1849.7853346330555</v>
      </c>
      <c r="S74" s="104">
        <f t="shared" si="63"/>
        <v>2069.4195847630276</v>
      </c>
      <c r="T74" s="104">
        <f t="shared" si="63"/>
        <v>2235.465209905998</v>
      </c>
      <c r="U74" s="73">
        <f t="shared" si="57"/>
        <v>13299.325558965964</v>
      </c>
      <c r="V74" s="74">
        <f t="shared" si="58"/>
        <v>13299.325558965964</v>
      </c>
      <c r="W74" s="109">
        <f>V74*$W$76/100</f>
        <v>3324.8313897414905</v>
      </c>
    </row>
    <row r="75" spans="1:23" ht="13.5" thickBot="1">
      <c r="A75" s="91" t="s">
        <v>88</v>
      </c>
      <c r="B75" s="105">
        <f>B73-(B74)</f>
        <v>-2377.333333333333</v>
      </c>
      <c r="C75" s="105">
        <f aca="true" t="shared" si="64" ref="C75:R75">C73-(C74)</f>
        <v>-3373.333333333333</v>
      </c>
      <c r="D75" s="105">
        <f t="shared" si="64"/>
        <v>-3359.733333333333</v>
      </c>
      <c r="E75" s="105">
        <f t="shared" si="64"/>
        <v>-2608.6133333333332</v>
      </c>
      <c r="F75" s="105">
        <f t="shared" si="64"/>
        <v>-1267.0333333333333</v>
      </c>
      <c r="G75" s="105">
        <f t="shared" si="64"/>
        <v>-825.8533333333332</v>
      </c>
      <c r="H75" s="69">
        <f>SUM(B75:G75)</f>
        <v>-13811.899999999998</v>
      </c>
      <c r="I75" s="105">
        <f t="shared" si="64"/>
        <v>-405.0533333333326</v>
      </c>
      <c r="J75" s="105">
        <f t="shared" si="64"/>
        <v>679.1357083333335</v>
      </c>
      <c r="K75" s="105">
        <f t="shared" si="64"/>
        <v>813.6582458333335</v>
      </c>
      <c r="L75" s="105">
        <f t="shared" si="64"/>
        <v>1384.1980370833335</v>
      </c>
      <c r="M75" s="105">
        <f t="shared" si="64"/>
        <v>1545.6053074583333</v>
      </c>
      <c r="N75" s="105">
        <f t="shared" si="64"/>
        <v>2145.718304870834</v>
      </c>
      <c r="O75" s="105">
        <f t="shared" si="64"/>
        <v>1654.156352024585</v>
      </c>
      <c r="P75" s="105">
        <f t="shared" si="64"/>
        <v>1866.8379288937097</v>
      </c>
      <c r="Q75" s="105">
        <f t="shared" si="64"/>
        <v>3179.335913449747</v>
      </c>
      <c r="R75" s="105">
        <f t="shared" si="64"/>
        <v>3435.315621461389</v>
      </c>
      <c r="S75" s="105">
        <f>S73-(S74)</f>
        <v>3843.207800274194</v>
      </c>
      <c r="T75" s="105">
        <f>T73-(T74)</f>
        <v>4151.578246968282</v>
      </c>
      <c r="U75" s="84">
        <f t="shared" si="57"/>
        <v>24293.694133317742</v>
      </c>
      <c r="V75" s="85">
        <f t="shared" si="58"/>
        <v>10481.794133317744</v>
      </c>
      <c r="W75" s="112">
        <f>W73-W74</f>
        <v>68908.900276213</v>
      </c>
    </row>
    <row r="76" spans="1:23" ht="51.75" thickBot="1">
      <c r="A76"/>
      <c r="U76" s="124" t="s">
        <v>89</v>
      </c>
      <c r="V76" s="125">
        <v>100</v>
      </c>
      <c r="W76" s="125">
        <v>25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8"/>
  <sheetViews>
    <sheetView workbookViewId="0" topLeftCell="A1">
      <pane xSplit="4890" topLeftCell="B1" activePane="topRight" state="split"/>
      <selection pane="topLeft" activeCell="V3" sqref="V3"/>
      <selection pane="topRight" activeCell="A1" sqref="A1:E1"/>
      <selection pane="topLeft" activeCell="A2" sqref="A2"/>
      <selection pane="topRight" activeCell="U3" sqref="U3"/>
    </sheetView>
  </sheetViews>
  <sheetFormatPr defaultColWidth="9.00390625" defaultRowHeight="12.75" outlineLevelRow="2" outlineLevelCol="1"/>
  <cols>
    <col min="1" max="1" width="36.625" style="0" customWidth="1"/>
    <col min="2" max="7" width="10.75390625" style="0" customWidth="1" outlineLevel="1"/>
    <col min="8" max="8" width="10.75390625" style="0" customWidth="1"/>
    <col min="9" max="9" width="11.75390625" style="0" customWidth="1" outlineLevel="1"/>
    <col min="10" max="10" width="11.625" style="0" customWidth="1" outlineLevel="1"/>
    <col min="11" max="20" width="10.75390625" style="0" customWidth="1" outlineLevel="1"/>
    <col min="21" max="21" width="12.875" style="0" customWidth="1"/>
    <col min="22" max="22" width="11.75390625" style="0" customWidth="1"/>
    <col min="23" max="23" width="12.25390625" style="100" customWidth="1"/>
  </cols>
  <sheetData>
    <row r="1" spans="1:23" ht="16.5" thickBot="1">
      <c r="A1" s="170" t="s">
        <v>90</v>
      </c>
      <c r="B1" s="170"/>
      <c r="C1" s="170"/>
      <c r="D1" s="170"/>
      <c r="E1" s="170"/>
      <c r="F1" s="166"/>
      <c r="G1" s="167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"/>
      <c r="V1" s="5" t="s">
        <v>91</v>
      </c>
      <c r="W1" s="165"/>
    </row>
    <row r="2" spans="1:23" ht="39" thickBot="1">
      <c r="A2" s="1" t="s">
        <v>92</v>
      </c>
      <c r="B2" s="6">
        <v>1</v>
      </c>
      <c r="C2" s="7">
        <v>2</v>
      </c>
      <c r="D2" s="8">
        <v>3</v>
      </c>
      <c r="E2" s="8">
        <v>4</v>
      </c>
      <c r="F2" s="8">
        <v>5</v>
      </c>
      <c r="G2" s="9">
        <v>6</v>
      </c>
      <c r="H2" s="149" t="s">
        <v>7</v>
      </c>
      <c r="I2" s="10">
        <v>7</v>
      </c>
      <c r="J2" s="11">
        <v>8</v>
      </c>
      <c r="K2" s="11">
        <v>9</v>
      </c>
      <c r="L2" s="11">
        <v>10</v>
      </c>
      <c r="M2" s="11">
        <v>11</v>
      </c>
      <c r="N2" s="12">
        <v>12</v>
      </c>
      <c r="O2" s="11">
        <v>13</v>
      </c>
      <c r="P2" s="12">
        <v>14</v>
      </c>
      <c r="Q2" s="11">
        <v>15</v>
      </c>
      <c r="R2" s="12">
        <v>16</v>
      </c>
      <c r="S2" s="11">
        <v>17</v>
      </c>
      <c r="T2" s="12">
        <v>18</v>
      </c>
      <c r="U2" s="13" t="s">
        <v>14</v>
      </c>
      <c r="V2" s="13" t="s">
        <v>93</v>
      </c>
      <c r="W2" s="159" t="s">
        <v>94</v>
      </c>
    </row>
    <row r="3" spans="1:23" ht="15">
      <c r="A3" s="155" t="s">
        <v>95</v>
      </c>
      <c r="B3" s="14">
        <v>0</v>
      </c>
      <c r="C3" s="15">
        <f>B75</f>
        <v>-13710.666666666668</v>
      </c>
      <c r="D3" s="15">
        <f>C75</f>
        <v>-16417.333333333336</v>
      </c>
      <c r="E3" s="15">
        <f>D75</f>
        <v>-19110.4</v>
      </c>
      <c r="F3" s="15">
        <f>E75</f>
        <v>-21052.346666666668</v>
      </c>
      <c r="G3" s="15">
        <f>F75</f>
        <v>-21652.713333333333</v>
      </c>
      <c r="H3" s="118">
        <f>B3</f>
        <v>0</v>
      </c>
      <c r="I3" s="15">
        <f>G75</f>
        <v>-21811.899999999998</v>
      </c>
      <c r="J3" s="15">
        <f aca="true" t="shared" si="0" ref="J3:T3">I75</f>
        <v>-21550.286666666667</v>
      </c>
      <c r="K3" s="15">
        <f t="shared" si="0"/>
        <v>-20204.484291666668</v>
      </c>
      <c r="L3" s="15">
        <f t="shared" si="0"/>
        <v>-18724.159379166667</v>
      </c>
      <c r="M3" s="15">
        <f t="shared" si="0"/>
        <v>-16673.29467541667</v>
      </c>
      <c r="N3" s="15">
        <f t="shared" si="0"/>
        <v>-14461.02270129167</v>
      </c>
      <c r="O3" s="15">
        <f t="shared" si="0"/>
        <v>-11648.63772975417</v>
      </c>
      <c r="P3" s="15">
        <f t="shared" si="0"/>
        <v>-9327.814711062918</v>
      </c>
      <c r="Q3" s="15">
        <f t="shared" si="0"/>
        <v>-6794.3101155025415</v>
      </c>
      <c r="R3" s="15">
        <f t="shared" si="0"/>
        <v>-2948.3075353861277</v>
      </c>
      <c r="S3" s="15">
        <f t="shared" si="0"/>
        <v>1153.6747527419266</v>
      </c>
      <c r="T3" s="15">
        <f t="shared" si="0"/>
        <v>5663.549219682785</v>
      </c>
      <c r="U3" s="168">
        <f>I3</f>
        <v>-21811.899999999998</v>
      </c>
      <c r="V3" s="17">
        <v>0</v>
      </c>
      <c r="W3" s="160"/>
    </row>
    <row r="4" spans="1:23" ht="12.75">
      <c r="A4" s="137" t="s">
        <v>96</v>
      </c>
      <c r="B4" s="135">
        <f>SUM(B5:B6)+B29</f>
        <v>1450</v>
      </c>
      <c r="C4" s="135">
        <f aca="true" t="shared" si="1" ref="C4:R4">SUM(C5:C6)+C29</f>
        <v>0</v>
      </c>
      <c r="D4" s="135">
        <f t="shared" si="1"/>
        <v>1000</v>
      </c>
      <c r="E4" s="135">
        <f>SUM(E5:E6)+E29</f>
        <v>2700</v>
      </c>
      <c r="F4" s="135">
        <f t="shared" si="1"/>
        <v>4875</v>
      </c>
      <c r="G4" s="135">
        <f t="shared" si="1"/>
        <v>5550</v>
      </c>
      <c r="H4" s="118">
        <f>SUM(B4:G4)</f>
        <v>15575</v>
      </c>
      <c r="I4" s="16">
        <f t="shared" si="1"/>
        <v>8550</v>
      </c>
      <c r="J4" s="16">
        <f t="shared" si="1"/>
        <v>10825</v>
      </c>
      <c r="K4" s="16">
        <f t="shared" si="1"/>
        <v>11127.5</v>
      </c>
      <c r="L4" s="16">
        <f t="shared" si="1"/>
        <v>12460.25</v>
      </c>
      <c r="M4" s="16">
        <f t="shared" si="1"/>
        <v>12826.275000000001</v>
      </c>
      <c r="N4" s="16">
        <f t="shared" si="1"/>
        <v>14228.902500000002</v>
      </c>
      <c r="O4" s="16">
        <f t="shared" si="1"/>
        <v>15021.792750000004</v>
      </c>
      <c r="P4" s="16">
        <f t="shared" si="1"/>
        <v>15508.972025000003</v>
      </c>
      <c r="Q4" s="16">
        <f t="shared" si="1"/>
        <v>18594.869227500003</v>
      </c>
      <c r="R4" s="16">
        <f t="shared" si="1"/>
        <v>19184.356150250005</v>
      </c>
      <c r="S4" s="16">
        <f>SUM(S5:S6)+S29</f>
        <v>20132.791765275004</v>
      </c>
      <c r="T4" s="16">
        <f>SUM(T5:T6)+T29</f>
        <v>20846.070941802507</v>
      </c>
      <c r="U4" s="19">
        <f>SUM(I4:T4)</f>
        <v>179306.7803598275</v>
      </c>
      <c r="V4" s="19">
        <f>SUM(H4,U4)</f>
        <v>194881.7803598275</v>
      </c>
      <c r="W4" s="118">
        <f>SUM(W5:W6)+W29</f>
        <v>194881.78035982753</v>
      </c>
    </row>
    <row r="5" spans="1:23" ht="15.75">
      <c r="A5" s="138" t="s">
        <v>97</v>
      </c>
      <c r="B5" s="20">
        <v>1450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118">
        <f>SUM(B5:G5)</f>
        <v>1450</v>
      </c>
      <c r="I5" s="18"/>
      <c r="J5" s="18"/>
      <c r="K5" s="18"/>
      <c r="L5" s="18"/>
      <c r="M5" s="18"/>
      <c r="N5" s="18"/>
      <c r="O5" s="21"/>
      <c r="P5" s="21"/>
      <c r="Q5" s="21"/>
      <c r="R5" s="21"/>
      <c r="S5" s="22"/>
      <c r="T5" s="23"/>
      <c r="U5" s="19">
        <f>SUM(I5:T5)</f>
        <v>0</v>
      </c>
      <c r="V5" s="19">
        <f>SUM(H5,U5)</f>
        <v>1450</v>
      </c>
      <c r="W5" s="161">
        <f>V5</f>
        <v>1450</v>
      </c>
    </row>
    <row r="6" spans="1:23" ht="25.5">
      <c r="A6" s="138" t="s">
        <v>98</v>
      </c>
      <c r="B6" s="20">
        <f aca="true" t="shared" si="2" ref="B6:G6">SUM(B7,B16,B20,B21,B25)</f>
        <v>0</v>
      </c>
      <c r="C6" s="20">
        <f t="shared" si="2"/>
        <v>0</v>
      </c>
      <c r="D6" s="20">
        <f t="shared" si="2"/>
        <v>1000</v>
      </c>
      <c r="E6" s="20">
        <f t="shared" si="2"/>
        <v>2700</v>
      </c>
      <c r="F6" s="20">
        <f t="shared" si="2"/>
        <v>4875</v>
      </c>
      <c r="G6" s="20">
        <f t="shared" si="2"/>
        <v>5550</v>
      </c>
      <c r="H6" s="118">
        <f aca="true" t="shared" si="3" ref="H6:H17">SUM(B6:G6)</f>
        <v>14125</v>
      </c>
      <c r="I6" s="18">
        <f aca="true" t="shared" si="4" ref="I6:T6">SUM(I7,I16,I20,I21,I25,I31)</f>
        <v>7550</v>
      </c>
      <c r="J6" s="18">
        <f t="shared" si="4"/>
        <v>8825</v>
      </c>
      <c r="K6" s="18">
        <f t="shared" si="4"/>
        <v>9127.5</v>
      </c>
      <c r="L6" s="18">
        <f t="shared" si="4"/>
        <v>10460.25</v>
      </c>
      <c r="M6" s="18">
        <f t="shared" si="4"/>
        <v>10826.275000000001</v>
      </c>
      <c r="N6" s="18">
        <f t="shared" si="4"/>
        <v>12228.902500000002</v>
      </c>
      <c r="O6" s="18">
        <f t="shared" si="4"/>
        <v>13021.792750000004</v>
      </c>
      <c r="P6" s="18">
        <f t="shared" si="4"/>
        <v>13508.972025000003</v>
      </c>
      <c r="Q6" s="18">
        <f t="shared" si="4"/>
        <v>16594.869227500003</v>
      </c>
      <c r="R6" s="18">
        <f t="shared" si="4"/>
        <v>17184.356150250005</v>
      </c>
      <c r="S6" s="18">
        <f t="shared" si="4"/>
        <v>18132.791765275004</v>
      </c>
      <c r="T6" s="18">
        <f t="shared" si="4"/>
        <v>18846.070941802507</v>
      </c>
      <c r="U6" s="19">
        <f aca="true" t="shared" si="5" ref="U6:U18">SUM(I6:T6)</f>
        <v>156306.78035982756</v>
      </c>
      <c r="V6" s="19">
        <f aca="true" t="shared" si="6" ref="V6:V19">SUM(H6,U6)</f>
        <v>170431.78035982756</v>
      </c>
      <c r="W6" s="118">
        <f>SUM(W7,W16,W20,W21,W25,W31)</f>
        <v>170431.78035982753</v>
      </c>
    </row>
    <row r="7" spans="1:23" ht="12.75" outlineLevel="1">
      <c r="A7" s="139" t="s">
        <v>18</v>
      </c>
      <c r="B7" s="25">
        <f aca="true" t="shared" si="7" ref="B7:G7">SUM(B8:B15)</f>
        <v>0</v>
      </c>
      <c r="C7" s="26">
        <f t="shared" si="7"/>
        <v>0</v>
      </c>
      <c r="D7" s="26">
        <f t="shared" si="7"/>
        <v>750</v>
      </c>
      <c r="E7" s="26">
        <f t="shared" si="7"/>
        <v>1350</v>
      </c>
      <c r="F7" s="26">
        <f t="shared" si="7"/>
        <v>1775</v>
      </c>
      <c r="G7" s="26">
        <f t="shared" si="7"/>
        <v>2150</v>
      </c>
      <c r="H7" s="38">
        <f t="shared" si="3"/>
        <v>6025</v>
      </c>
      <c r="I7" s="24">
        <f aca="true" t="shared" si="8" ref="I7:T7">SUM(I8:I15)</f>
        <v>2150</v>
      </c>
      <c r="J7" s="24">
        <f t="shared" si="8"/>
        <v>2365</v>
      </c>
      <c r="K7" s="24">
        <f t="shared" si="8"/>
        <v>2601.5000000000005</v>
      </c>
      <c r="L7" s="24">
        <f t="shared" si="8"/>
        <v>2861.6500000000005</v>
      </c>
      <c r="M7" s="24">
        <f t="shared" si="8"/>
        <v>3147.815000000002</v>
      </c>
      <c r="N7" s="24">
        <f t="shared" si="8"/>
        <v>3462.596500000002</v>
      </c>
      <c r="O7" s="24">
        <f t="shared" si="8"/>
        <v>3808.8561500000023</v>
      </c>
      <c r="P7" s="24">
        <f t="shared" si="8"/>
        <v>4189.7417650000025</v>
      </c>
      <c r="Q7" s="24">
        <f t="shared" si="8"/>
        <v>4608.715941500003</v>
      </c>
      <c r="R7" s="24">
        <f t="shared" si="8"/>
        <v>5069.587535650004</v>
      </c>
      <c r="S7" s="24">
        <f t="shared" si="8"/>
        <v>5576.546289215004</v>
      </c>
      <c r="T7" s="24">
        <f t="shared" si="8"/>
        <v>6134.200918136505</v>
      </c>
      <c r="U7" s="27">
        <f t="shared" si="5"/>
        <v>45976.21009950153</v>
      </c>
      <c r="V7" s="27">
        <f t="shared" si="6"/>
        <v>52001.21009950153</v>
      </c>
      <c r="W7" s="161">
        <f aca="true" t="shared" si="9" ref="W7:W28">V7</f>
        <v>52001.21009950153</v>
      </c>
    </row>
    <row r="8" spans="1:23" ht="12.75" outlineLevel="2">
      <c r="A8" s="140" t="s">
        <v>19</v>
      </c>
      <c r="B8" s="28">
        <f>'прибыли (убытки)'!B4</f>
        <v>0</v>
      </c>
      <c r="C8" s="28">
        <f>'прибыли (убытки)'!C4</f>
        <v>0</v>
      </c>
      <c r="D8" s="28">
        <f>'прибыли (убытки)'!D4</f>
        <v>0</v>
      </c>
      <c r="E8" s="28">
        <f>'прибыли (убытки)'!E4</f>
        <v>50</v>
      </c>
      <c r="F8" s="28">
        <f>'прибыли (убытки)'!F4</f>
        <v>75</v>
      </c>
      <c r="G8" s="28">
        <f>'прибыли (убытки)'!G4</f>
        <v>100</v>
      </c>
      <c r="H8" s="38">
        <f t="shared" si="3"/>
        <v>225</v>
      </c>
      <c r="I8" s="126">
        <f>'прибыли (убытки)'!I4</f>
        <v>100</v>
      </c>
      <c r="J8" s="126">
        <f>'прибыли (убытки)'!J4</f>
        <v>110.00000000000001</v>
      </c>
      <c r="K8" s="126">
        <f>'прибыли (убытки)'!K4</f>
        <v>121.00000000000003</v>
      </c>
      <c r="L8" s="126">
        <f>'прибыли (убытки)'!L4</f>
        <v>133.10000000000005</v>
      </c>
      <c r="M8" s="126">
        <f>'прибыли (убытки)'!M4</f>
        <v>146.41000000000008</v>
      </c>
      <c r="N8" s="126">
        <f>'прибыли (убытки)'!N4</f>
        <v>161.0510000000001</v>
      </c>
      <c r="O8" s="126">
        <f>'прибыли (убытки)'!O4</f>
        <v>177.15610000000012</v>
      </c>
      <c r="P8" s="126">
        <f>'прибыли (убытки)'!P4</f>
        <v>194.87171000000015</v>
      </c>
      <c r="Q8" s="126">
        <f>'прибыли (убытки)'!Q4</f>
        <v>214.3588810000002</v>
      </c>
      <c r="R8" s="126">
        <f>'прибыли (убытки)'!R4</f>
        <v>235.79476910000022</v>
      </c>
      <c r="S8" s="126">
        <f>'прибыли (убытки)'!S4</f>
        <v>259.37424601000026</v>
      </c>
      <c r="T8" s="126">
        <f>'прибыли (убытки)'!T4</f>
        <v>285.3116706110003</v>
      </c>
      <c r="U8" s="27">
        <f t="shared" si="5"/>
        <v>2138.4283767210013</v>
      </c>
      <c r="V8" s="27">
        <f t="shared" si="6"/>
        <v>2363.4283767210013</v>
      </c>
      <c r="W8" s="161">
        <f t="shared" si="9"/>
        <v>2363.4283767210013</v>
      </c>
    </row>
    <row r="9" spans="1:23" ht="12.75" outlineLevel="2">
      <c r="A9" s="140" t="s">
        <v>20</v>
      </c>
      <c r="B9" s="28">
        <f>'прибыли (убытки)'!B5</f>
        <v>0</v>
      </c>
      <c r="C9" s="28">
        <f>'прибыли (убытки)'!C5</f>
        <v>0</v>
      </c>
      <c r="D9" s="28">
        <f>'прибыли (убытки)'!D5</f>
        <v>0</v>
      </c>
      <c r="E9" s="28">
        <f>'прибыли (убытки)'!E5</f>
        <v>50</v>
      </c>
      <c r="F9" s="28">
        <f>'прибыли (убытки)'!F5</f>
        <v>75</v>
      </c>
      <c r="G9" s="28">
        <f>'прибыли (убытки)'!G5</f>
        <v>100</v>
      </c>
      <c r="H9" s="38">
        <f t="shared" si="3"/>
        <v>225</v>
      </c>
      <c r="I9" s="126">
        <f>'прибыли (убытки)'!I5</f>
        <v>100</v>
      </c>
      <c r="J9" s="126">
        <f>'прибыли (убытки)'!J5</f>
        <v>110.00000000000001</v>
      </c>
      <c r="K9" s="126">
        <f>'прибыли (убытки)'!K5</f>
        <v>121.00000000000003</v>
      </c>
      <c r="L9" s="126">
        <f>'прибыли (убытки)'!L5</f>
        <v>133.10000000000005</v>
      </c>
      <c r="M9" s="126">
        <f>'прибыли (убытки)'!M5</f>
        <v>146.41000000000008</v>
      </c>
      <c r="N9" s="126">
        <f>'прибыли (убытки)'!N5</f>
        <v>161.0510000000001</v>
      </c>
      <c r="O9" s="126">
        <f>'прибыли (убытки)'!O5</f>
        <v>177.15610000000012</v>
      </c>
      <c r="P9" s="126">
        <f>'прибыли (убытки)'!P5</f>
        <v>194.87171000000015</v>
      </c>
      <c r="Q9" s="126">
        <f>'прибыли (убытки)'!Q5</f>
        <v>214.3588810000002</v>
      </c>
      <c r="R9" s="126">
        <f>'прибыли (убытки)'!R5</f>
        <v>235.79476910000022</v>
      </c>
      <c r="S9" s="126">
        <f>'прибыли (убытки)'!S5</f>
        <v>259.37424601000026</v>
      </c>
      <c r="T9" s="126">
        <f>'прибыли (убытки)'!T5</f>
        <v>285.3116706110003</v>
      </c>
      <c r="U9" s="27">
        <f t="shared" si="5"/>
        <v>2138.4283767210013</v>
      </c>
      <c r="V9" s="27">
        <f t="shared" si="6"/>
        <v>2363.4283767210013</v>
      </c>
      <c r="W9" s="161">
        <f t="shared" si="9"/>
        <v>2363.4283767210013</v>
      </c>
    </row>
    <row r="10" spans="1:23" ht="12.75" outlineLevel="2">
      <c r="A10" s="140" t="s">
        <v>21</v>
      </c>
      <c r="B10" s="28">
        <f>'прибыли (убытки)'!B6</f>
        <v>0</v>
      </c>
      <c r="C10" s="28">
        <f>'прибыли (убытки)'!C6</f>
        <v>0</v>
      </c>
      <c r="D10" s="28">
        <f>'прибыли (убытки)'!D6</f>
        <v>50</v>
      </c>
      <c r="E10" s="28">
        <f>'прибыли (убытки)'!E6</f>
        <v>50</v>
      </c>
      <c r="F10" s="28">
        <f>'прибыли (убытки)'!F6</f>
        <v>75</v>
      </c>
      <c r="G10" s="28">
        <f>'прибыли (убытки)'!G6</f>
        <v>100</v>
      </c>
      <c r="H10" s="38">
        <f t="shared" si="3"/>
        <v>275</v>
      </c>
      <c r="I10" s="126">
        <f>'прибыли (убытки)'!I6</f>
        <v>100</v>
      </c>
      <c r="J10" s="126">
        <f>'прибыли (убытки)'!J6</f>
        <v>110.00000000000001</v>
      </c>
      <c r="K10" s="126">
        <f>'прибыли (убытки)'!K6</f>
        <v>121.00000000000003</v>
      </c>
      <c r="L10" s="126">
        <f>'прибыли (убытки)'!L6</f>
        <v>133.10000000000005</v>
      </c>
      <c r="M10" s="126">
        <f>'прибыли (убытки)'!M6</f>
        <v>146.41000000000008</v>
      </c>
      <c r="N10" s="126">
        <f>'прибыли (убытки)'!N6</f>
        <v>161.0510000000001</v>
      </c>
      <c r="O10" s="126">
        <f>'прибыли (убытки)'!O6</f>
        <v>177.15610000000012</v>
      </c>
      <c r="P10" s="126">
        <f>'прибыли (убытки)'!P6</f>
        <v>194.87171000000015</v>
      </c>
      <c r="Q10" s="126">
        <f>'прибыли (убытки)'!Q6</f>
        <v>214.3588810000002</v>
      </c>
      <c r="R10" s="126">
        <f>'прибыли (убытки)'!R6</f>
        <v>235.79476910000022</v>
      </c>
      <c r="S10" s="126">
        <f>'прибыли (убытки)'!S6</f>
        <v>259.37424601000026</v>
      </c>
      <c r="T10" s="126">
        <f>'прибыли (убытки)'!T6</f>
        <v>285.3116706110003</v>
      </c>
      <c r="U10" s="27">
        <f t="shared" si="5"/>
        <v>2138.4283767210013</v>
      </c>
      <c r="V10" s="27">
        <f t="shared" si="6"/>
        <v>2413.4283767210013</v>
      </c>
      <c r="W10" s="161">
        <f t="shared" si="9"/>
        <v>2413.4283767210013</v>
      </c>
    </row>
    <row r="11" spans="1:23" ht="12.75" outlineLevel="2">
      <c r="A11" s="140" t="s">
        <v>22</v>
      </c>
      <c r="B11" s="28">
        <f>'прибыли (убытки)'!B7</f>
        <v>0</v>
      </c>
      <c r="C11" s="28">
        <f>'прибыли (убытки)'!C7</f>
        <v>0</v>
      </c>
      <c r="D11" s="28">
        <f>'прибыли (убытки)'!D7</f>
        <v>400</v>
      </c>
      <c r="E11" s="28">
        <f>'прибыли (убытки)'!E7</f>
        <v>600</v>
      </c>
      <c r="F11" s="28">
        <f>'прибыли (убытки)'!F7</f>
        <v>700</v>
      </c>
      <c r="G11" s="28">
        <f>'прибыли (убытки)'!G7</f>
        <v>800</v>
      </c>
      <c r="H11" s="38">
        <f t="shared" si="3"/>
        <v>2500</v>
      </c>
      <c r="I11" s="126">
        <f>'прибыли (убытки)'!I7</f>
        <v>800</v>
      </c>
      <c r="J11" s="126">
        <f>'прибыли (убытки)'!J7</f>
        <v>880.0000000000001</v>
      </c>
      <c r="K11" s="126">
        <f>'прибыли (убытки)'!K7</f>
        <v>968.0000000000002</v>
      </c>
      <c r="L11" s="126">
        <f>'прибыли (убытки)'!L7</f>
        <v>1064.8000000000004</v>
      </c>
      <c r="M11" s="126">
        <f>'прибыли (убытки)'!M7</f>
        <v>1171.2800000000007</v>
      </c>
      <c r="N11" s="126">
        <f>'прибыли (убытки)'!N7</f>
        <v>1288.4080000000008</v>
      </c>
      <c r="O11" s="126">
        <f>'прибыли (убытки)'!O7</f>
        <v>1417.248800000001</v>
      </c>
      <c r="P11" s="126">
        <f>'прибыли (убытки)'!P7</f>
        <v>1558.9736800000012</v>
      </c>
      <c r="Q11" s="126">
        <f>'прибыли (убытки)'!Q7</f>
        <v>1714.8710480000016</v>
      </c>
      <c r="R11" s="126">
        <f>'прибыли (убытки)'!R7</f>
        <v>1886.3581528000018</v>
      </c>
      <c r="S11" s="126">
        <f>'прибыли (убытки)'!S7</f>
        <v>2074.993968080002</v>
      </c>
      <c r="T11" s="126">
        <f>'прибыли (убытки)'!T7</f>
        <v>2282.4933648880024</v>
      </c>
      <c r="U11" s="27">
        <f t="shared" si="5"/>
        <v>17107.42701376801</v>
      </c>
      <c r="V11" s="27">
        <f t="shared" si="6"/>
        <v>19607.42701376801</v>
      </c>
      <c r="W11" s="161">
        <f t="shared" si="9"/>
        <v>19607.42701376801</v>
      </c>
    </row>
    <row r="12" spans="1:23" ht="12.75" outlineLevel="2">
      <c r="A12" s="140" t="s">
        <v>23</v>
      </c>
      <c r="B12" s="28">
        <f>'прибыли (убытки)'!B8</f>
        <v>0</v>
      </c>
      <c r="C12" s="28">
        <f>'прибыли (убытки)'!C8</f>
        <v>0</v>
      </c>
      <c r="D12" s="28">
        <f>'прибыли (убытки)'!D8</f>
        <v>100</v>
      </c>
      <c r="E12" s="28">
        <f>'прибыли (убытки)'!E8</f>
        <v>150</v>
      </c>
      <c r="F12" s="28">
        <f>'прибыли (убытки)'!F8</f>
        <v>200</v>
      </c>
      <c r="G12" s="28">
        <f>'прибыли (убытки)'!G8</f>
        <v>200</v>
      </c>
      <c r="H12" s="38">
        <f t="shared" si="3"/>
        <v>650</v>
      </c>
      <c r="I12" s="126">
        <f>'прибыли (убытки)'!I8</f>
        <v>200</v>
      </c>
      <c r="J12" s="126">
        <f>'прибыли (убытки)'!J8</f>
        <v>220.00000000000003</v>
      </c>
      <c r="K12" s="126">
        <f>'прибыли (убытки)'!K8</f>
        <v>242.00000000000006</v>
      </c>
      <c r="L12" s="126">
        <f>'прибыли (убытки)'!L8</f>
        <v>266.2000000000001</v>
      </c>
      <c r="M12" s="126">
        <f>'прибыли (убытки)'!M8</f>
        <v>292.82000000000016</v>
      </c>
      <c r="N12" s="126">
        <f>'прибыли (убытки)'!N8</f>
        <v>322.1020000000002</v>
      </c>
      <c r="O12" s="126">
        <f>'прибыли (убытки)'!O8</f>
        <v>354.31220000000025</v>
      </c>
      <c r="P12" s="126">
        <f>'прибыли (убытки)'!P8</f>
        <v>389.7434200000003</v>
      </c>
      <c r="Q12" s="126">
        <f>'прибыли (убытки)'!Q8</f>
        <v>428.7177620000004</v>
      </c>
      <c r="R12" s="126">
        <f>'прибыли (убытки)'!R8</f>
        <v>471.58953820000045</v>
      </c>
      <c r="S12" s="126">
        <f>'прибыли (убытки)'!S8</f>
        <v>518.7484920200005</v>
      </c>
      <c r="T12" s="126">
        <f>'прибыли (убытки)'!T8</f>
        <v>570.6233412220006</v>
      </c>
      <c r="U12" s="27">
        <f t="shared" si="5"/>
        <v>4276.856753442003</v>
      </c>
      <c r="V12" s="27">
        <f t="shared" si="6"/>
        <v>4926.856753442003</v>
      </c>
      <c r="W12" s="161">
        <f t="shared" si="9"/>
        <v>4926.856753442003</v>
      </c>
    </row>
    <row r="13" spans="1:23" ht="12.75" outlineLevel="2">
      <c r="A13" s="140" t="s">
        <v>24</v>
      </c>
      <c r="B13" s="28">
        <f>'прибыли (убытки)'!B9</f>
        <v>0</v>
      </c>
      <c r="C13" s="28">
        <f>'прибыли (убытки)'!C9</f>
        <v>0</v>
      </c>
      <c r="D13" s="28">
        <f>'прибыли (убытки)'!D9</f>
        <v>0</v>
      </c>
      <c r="E13" s="28">
        <f>'прибыли (убытки)'!E9</f>
        <v>100</v>
      </c>
      <c r="F13" s="28">
        <f>'прибыли (убытки)'!F9</f>
        <v>150</v>
      </c>
      <c r="G13" s="28">
        <f>'прибыли (убытки)'!G9</f>
        <v>200</v>
      </c>
      <c r="H13" s="38">
        <f t="shared" si="3"/>
        <v>450</v>
      </c>
      <c r="I13" s="126">
        <f>'прибыли (убытки)'!I9</f>
        <v>200</v>
      </c>
      <c r="J13" s="126">
        <f>'прибыли (убытки)'!J9</f>
        <v>220.00000000000003</v>
      </c>
      <c r="K13" s="126">
        <f>'прибыли (убытки)'!K9</f>
        <v>242.00000000000006</v>
      </c>
      <c r="L13" s="126">
        <f>'прибыли (убытки)'!L9</f>
        <v>266.2000000000001</v>
      </c>
      <c r="M13" s="126">
        <f>'прибыли (убытки)'!M9</f>
        <v>292.82000000000016</v>
      </c>
      <c r="N13" s="126">
        <f>'прибыли (убытки)'!N9</f>
        <v>322.1020000000002</v>
      </c>
      <c r="O13" s="126">
        <f>'прибыли (убытки)'!O9</f>
        <v>354.31220000000025</v>
      </c>
      <c r="P13" s="126">
        <f>'прибыли (убытки)'!P9</f>
        <v>389.7434200000003</v>
      </c>
      <c r="Q13" s="126">
        <f>'прибыли (убытки)'!Q9</f>
        <v>428.7177620000004</v>
      </c>
      <c r="R13" s="126">
        <f>'прибыли (убытки)'!R9</f>
        <v>471.58953820000045</v>
      </c>
      <c r="S13" s="126">
        <f>'прибыли (убытки)'!S9</f>
        <v>518.7484920200005</v>
      </c>
      <c r="T13" s="126">
        <f>'прибыли (убытки)'!T9</f>
        <v>570.6233412220006</v>
      </c>
      <c r="U13" s="27">
        <f t="shared" si="5"/>
        <v>4276.856753442003</v>
      </c>
      <c r="V13" s="27">
        <f t="shared" si="6"/>
        <v>4726.856753442003</v>
      </c>
      <c r="W13" s="161">
        <f t="shared" si="9"/>
        <v>4726.856753442003</v>
      </c>
    </row>
    <row r="14" spans="1:23" ht="12.75" outlineLevel="2">
      <c r="A14" s="140" t="s">
        <v>25</v>
      </c>
      <c r="B14" s="28">
        <f>'прибыли (убытки)'!B10</f>
        <v>0</v>
      </c>
      <c r="C14" s="28">
        <f>'прибыли (убытки)'!C10</f>
        <v>0</v>
      </c>
      <c r="D14" s="28">
        <f>'прибыли (убытки)'!D10</f>
        <v>0</v>
      </c>
      <c r="E14" s="28">
        <f>'прибыли (убытки)'!E10</f>
        <v>50</v>
      </c>
      <c r="F14" s="28">
        <f>'прибыли (убытки)'!F10</f>
        <v>100</v>
      </c>
      <c r="G14" s="28">
        <f>'прибыли (убытки)'!G10</f>
        <v>150</v>
      </c>
      <c r="H14" s="38">
        <f t="shared" si="3"/>
        <v>300</v>
      </c>
      <c r="I14" s="126">
        <f>'прибыли (убытки)'!I10</f>
        <v>150</v>
      </c>
      <c r="J14" s="126">
        <f>'прибыли (убытки)'!J10</f>
        <v>165</v>
      </c>
      <c r="K14" s="126">
        <f>'прибыли (убытки)'!K10</f>
        <v>181.50000000000003</v>
      </c>
      <c r="L14" s="126">
        <f>'прибыли (убытки)'!L10</f>
        <v>199.65000000000003</v>
      </c>
      <c r="M14" s="126">
        <f>'прибыли (убытки)'!M10</f>
        <v>219.61500000000007</v>
      </c>
      <c r="N14" s="126">
        <f>'прибыли (убытки)'!N10</f>
        <v>241.5765000000001</v>
      </c>
      <c r="O14" s="126">
        <f>'прибыли (убытки)'!O10</f>
        <v>265.7341500000001</v>
      </c>
      <c r="P14" s="126">
        <f>'прибыли (убытки)'!P10</f>
        <v>292.3075650000001</v>
      </c>
      <c r="Q14" s="126">
        <f>'прибыли (убытки)'!Q10</f>
        <v>321.53832150000017</v>
      </c>
      <c r="R14" s="126">
        <f>'прибыли (убытки)'!R10</f>
        <v>353.6921536500002</v>
      </c>
      <c r="S14" s="126">
        <f>'прибыли (убытки)'!S10</f>
        <v>389.06136901500025</v>
      </c>
      <c r="T14" s="126">
        <f>'прибыли (убытки)'!T10</f>
        <v>427.96750591650033</v>
      </c>
      <c r="U14" s="27">
        <f t="shared" si="5"/>
        <v>3207.6425650815013</v>
      </c>
      <c r="V14" s="27">
        <f t="shared" si="6"/>
        <v>3507.6425650815013</v>
      </c>
      <c r="W14" s="161">
        <f t="shared" si="9"/>
        <v>3507.6425650815013</v>
      </c>
    </row>
    <row r="15" spans="1:23" ht="12.75" outlineLevel="2">
      <c r="A15" s="140" t="s">
        <v>26</v>
      </c>
      <c r="B15" s="28">
        <f>'прибыли (убытки)'!B11</f>
        <v>0</v>
      </c>
      <c r="C15" s="28">
        <f>'прибыли (убытки)'!C11</f>
        <v>0</v>
      </c>
      <c r="D15" s="28">
        <f>'прибыли (убытки)'!D11</f>
        <v>200</v>
      </c>
      <c r="E15" s="28">
        <f>'прибыли (убытки)'!E11</f>
        <v>300</v>
      </c>
      <c r="F15" s="28">
        <f>'прибыли (убытки)'!F11</f>
        <v>400</v>
      </c>
      <c r="G15" s="28">
        <f>'прибыли (убытки)'!G11</f>
        <v>500</v>
      </c>
      <c r="H15" s="38">
        <f t="shared" si="3"/>
        <v>1400</v>
      </c>
      <c r="I15" s="126">
        <f>'прибыли (убытки)'!I11</f>
        <v>500</v>
      </c>
      <c r="J15" s="126">
        <f>'прибыли (убытки)'!J11</f>
        <v>550</v>
      </c>
      <c r="K15" s="126">
        <f>'прибыли (убытки)'!K11</f>
        <v>605</v>
      </c>
      <c r="L15" s="126">
        <f>'прибыли (убытки)'!L11</f>
        <v>665.5</v>
      </c>
      <c r="M15" s="126">
        <f>'прибыли (убытки)'!M11</f>
        <v>732.0500000000001</v>
      </c>
      <c r="N15" s="126">
        <f>'прибыли (убытки)'!N11</f>
        <v>805.2550000000001</v>
      </c>
      <c r="O15" s="126">
        <f>'прибыли (убытки)'!O11</f>
        <v>885.7805000000002</v>
      </c>
      <c r="P15" s="126">
        <f>'прибыли (убытки)'!P11</f>
        <v>974.3585500000003</v>
      </c>
      <c r="Q15" s="126">
        <f>'прибыли (убытки)'!Q11</f>
        <v>1071.7944050000003</v>
      </c>
      <c r="R15" s="126">
        <f>'прибыли (убытки)'!R11</f>
        <v>1178.9738455000004</v>
      </c>
      <c r="S15" s="126">
        <f>'прибыли (убытки)'!S11</f>
        <v>1296.8712300500006</v>
      </c>
      <c r="T15" s="126">
        <f>'прибыли (убытки)'!T11</f>
        <v>1426.5583530550007</v>
      </c>
      <c r="U15" s="27">
        <f t="shared" si="5"/>
        <v>10692.141883605003</v>
      </c>
      <c r="V15" s="27">
        <f t="shared" si="6"/>
        <v>12092.141883605003</v>
      </c>
      <c r="W15" s="161">
        <f t="shared" si="9"/>
        <v>12092.141883605003</v>
      </c>
    </row>
    <row r="16" spans="1:23" ht="12.75" outlineLevel="1">
      <c r="A16" s="139" t="s">
        <v>27</v>
      </c>
      <c r="B16" s="25">
        <f aca="true" t="shared" si="10" ref="B16:G16">SUM(B17:B19)</f>
        <v>0</v>
      </c>
      <c r="C16" s="26">
        <f t="shared" si="10"/>
        <v>0</v>
      </c>
      <c r="D16" s="26">
        <f t="shared" si="10"/>
        <v>250</v>
      </c>
      <c r="E16" s="26">
        <f t="shared" si="10"/>
        <v>300</v>
      </c>
      <c r="F16" s="26">
        <f t="shared" si="10"/>
        <v>300</v>
      </c>
      <c r="G16" s="31">
        <f t="shared" si="10"/>
        <v>300</v>
      </c>
      <c r="H16" s="38">
        <f t="shared" si="3"/>
        <v>1150</v>
      </c>
      <c r="I16" s="32">
        <f aca="true" t="shared" si="11" ref="I16:T16">SUM(I17:I19)</f>
        <v>300</v>
      </c>
      <c r="J16" s="32">
        <f t="shared" si="11"/>
        <v>330</v>
      </c>
      <c r="K16" s="32">
        <f t="shared" si="11"/>
        <v>363.00000000000006</v>
      </c>
      <c r="L16" s="32">
        <f t="shared" si="11"/>
        <v>399.3000000000001</v>
      </c>
      <c r="M16" s="32">
        <f t="shared" si="11"/>
        <v>439.2300000000002</v>
      </c>
      <c r="N16" s="32">
        <f t="shared" si="11"/>
        <v>483.15300000000025</v>
      </c>
      <c r="O16" s="32">
        <f t="shared" si="11"/>
        <v>531.4683000000003</v>
      </c>
      <c r="P16" s="33">
        <f t="shared" si="11"/>
        <v>584.6151300000004</v>
      </c>
      <c r="Q16" s="33">
        <f t="shared" si="11"/>
        <v>643.0766430000004</v>
      </c>
      <c r="R16" s="33">
        <f t="shared" si="11"/>
        <v>707.3843073000005</v>
      </c>
      <c r="S16" s="33">
        <f t="shared" si="11"/>
        <v>778.1227380300006</v>
      </c>
      <c r="T16" s="33">
        <f t="shared" si="11"/>
        <v>855.9350118330008</v>
      </c>
      <c r="U16" s="34">
        <f t="shared" si="5"/>
        <v>6415.2851301630035</v>
      </c>
      <c r="V16" s="34">
        <f t="shared" si="6"/>
        <v>7565.2851301630035</v>
      </c>
      <c r="W16" s="161">
        <f t="shared" si="9"/>
        <v>7565.2851301630035</v>
      </c>
    </row>
    <row r="17" spans="1:23" ht="12.75" outlineLevel="2">
      <c r="A17" s="140" t="s">
        <v>28</v>
      </c>
      <c r="B17" s="28">
        <f>'прибыли (убытки)'!B13</f>
        <v>0</v>
      </c>
      <c r="C17" s="28">
        <f>'прибыли (убытки)'!C13</f>
        <v>0</v>
      </c>
      <c r="D17" s="28">
        <f>'прибыли (убытки)'!D13</f>
        <v>100</v>
      </c>
      <c r="E17" s="28">
        <f>'прибыли (убытки)'!E13</f>
        <v>150</v>
      </c>
      <c r="F17" s="28">
        <f>'прибыли (убытки)'!F13</f>
        <v>150</v>
      </c>
      <c r="G17" s="28">
        <f>'прибыли (убытки)'!G13</f>
        <v>150</v>
      </c>
      <c r="H17" s="38">
        <f t="shared" si="3"/>
        <v>550</v>
      </c>
      <c r="I17" s="126">
        <f>'прибыли (убытки)'!I13</f>
        <v>150</v>
      </c>
      <c r="J17" s="126">
        <f>'прибыли (убытки)'!J13</f>
        <v>165</v>
      </c>
      <c r="K17" s="126">
        <f>'прибыли (убытки)'!K13</f>
        <v>181.50000000000003</v>
      </c>
      <c r="L17" s="126">
        <f>'прибыли (убытки)'!L13</f>
        <v>199.65000000000003</v>
      </c>
      <c r="M17" s="126">
        <f>'прибыли (убытки)'!M13</f>
        <v>219.61500000000007</v>
      </c>
      <c r="N17" s="126">
        <f>'прибыли (убытки)'!N13</f>
        <v>241.5765000000001</v>
      </c>
      <c r="O17" s="126">
        <f>'прибыли (убытки)'!O13</f>
        <v>265.7341500000001</v>
      </c>
      <c r="P17" s="126">
        <f>'прибыли (убытки)'!P13</f>
        <v>292.3075650000001</v>
      </c>
      <c r="Q17" s="126">
        <f>'прибыли (убытки)'!Q13</f>
        <v>321.53832150000017</v>
      </c>
      <c r="R17" s="126">
        <f>'прибыли (убытки)'!R13</f>
        <v>353.6921536500002</v>
      </c>
      <c r="S17" s="126">
        <f>'прибыли (убытки)'!S13</f>
        <v>389.06136901500025</v>
      </c>
      <c r="T17" s="126">
        <f>'прибыли (убытки)'!T13</f>
        <v>427.96750591650033</v>
      </c>
      <c r="U17" s="27">
        <f t="shared" si="5"/>
        <v>3207.6425650815013</v>
      </c>
      <c r="V17" s="27">
        <f t="shared" si="6"/>
        <v>3757.6425650815013</v>
      </c>
      <c r="W17" s="161">
        <f t="shared" si="9"/>
        <v>3757.6425650815013</v>
      </c>
    </row>
    <row r="18" spans="1:23" ht="12.75" outlineLevel="2">
      <c r="A18" s="140" t="s">
        <v>29</v>
      </c>
      <c r="B18" s="28">
        <f>'прибыли (убытки)'!B14</f>
        <v>0</v>
      </c>
      <c r="C18" s="28">
        <f>'прибыли (убытки)'!C14</f>
        <v>0</v>
      </c>
      <c r="D18" s="28">
        <f>'прибыли (убытки)'!D14</f>
        <v>100</v>
      </c>
      <c r="E18" s="28">
        <f>'прибыли (убытки)'!E14</f>
        <v>100</v>
      </c>
      <c r="F18" s="28">
        <f>'прибыли (убытки)'!F14</f>
        <v>100</v>
      </c>
      <c r="G18" s="28">
        <f>'прибыли (убытки)'!G14</f>
        <v>100</v>
      </c>
      <c r="H18" s="38">
        <f aca="true" t="shared" si="12" ref="H18:H32">SUM(B18:G18)</f>
        <v>400</v>
      </c>
      <c r="I18" s="126">
        <f>'прибыли (убытки)'!I14</f>
        <v>100</v>
      </c>
      <c r="J18" s="126">
        <f>'прибыли (убытки)'!J14</f>
        <v>110.00000000000001</v>
      </c>
      <c r="K18" s="126">
        <f>'прибыли (убытки)'!K14</f>
        <v>121.00000000000003</v>
      </c>
      <c r="L18" s="126">
        <f>'прибыли (убытки)'!L14</f>
        <v>133.10000000000005</v>
      </c>
      <c r="M18" s="126">
        <f>'прибыли (убытки)'!M14</f>
        <v>146.41000000000008</v>
      </c>
      <c r="N18" s="126">
        <f>'прибыли (убытки)'!N14</f>
        <v>161.0510000000001</v>
      </c>
      <c r="O18" s="126">
        <f>'прибыли (убытки)'!O14</f>
        <v>177.15610000000012</v>
      </c>
      <c r="P18" s="126">
        <f>'прибыли (убытки)'!P14</f>
        <v>194.87171000000015</v>
      </c>
      <c r="Q18" s="126">
        <f>'прибыли (убытки)'!Q14</f>
        <v>214.3588810000002</v>
      </c>
      <c r="R18" s="126">
        <f>'прибыли (убытки)'!R14</f>
        <v>235.79476910000022</v>
      </c>
      <c r="S18" s="126">
        <f>'прибыли (убытки)'!S14</f>
        <v>259.37424601000026</v>
      </c>
      <c r="T18" s="126">
        <f>'прибыли (убытки)'!T14</f>
        <v>285.3116706110003</v>
      </c>
      <c r="U18" s="27">
        <f t="shared" si="5"/>
        <v>2138.4283767210013</v>
      </c>
      <c r="V18" s="27">
        <f t="shared" si="6"/>
        <v>2538.4283767210013</v>
      </c>
      <c r="W18" s="161">
        <f t="shared" si="9"/>
        <v>2538.4283767210013</v>
      </c>
    </row>
    <row r="19" spans="1:23" ht="12.75" outlineLevel="2">
      <c r="A19" s="140" t="s">
        <v>30</v>
      </c>
      <c r="B19" s="28">
        <f>'прибыли (убытки)'!B15</f>
        <v>0</v>
      </c>
      <c r="C19" s="28">
        <f>'прибыли (убытки)'!C15</f>
        <v>0</v>
      </c>
      <c r="D19" s="28">
        <f>'прибыли (убытки)'!D15</f>
        <v>50</v>
      </c>
      <c r="E19" s="28">
        <f>'прибыли (убытки)'!E15</f>
        <v>50</v>
      </c>
      <c r="F19" s="28">
        <f>'прибыли (убытки)'!F15</f>
        <v>50</v>
      </c>
      <c r="G19" s="28">
        <f>'прибыли (убытки)'!G15</f>
        <v>50</v>
      </c>
      <c r="H19" s="38">
        <f t="shared" si="12"/>
        <v>200</v>
      </c>
      <c r="I19" s="126">
        <f>'прибыли (убытки)'!I15</f>
        <v>50</v>
      </c>
      <c r="J19" s="126">
        <f>'прибыли (убытки)'!J15</f>
        <v>55.00000000000001</v>
      </c>
      <c r="K19" s="126">
        <f>'прибыли (убытки)'!K15</f>
        <v>60.500000000000014</v>
      </c>
      <c r="L19" s="126">
        <f>'прибыли (убытки)'!L15</f>
        <v>66.55000000000003</v>
      </c>
      <c r="M19" s="126">
        <f>'прибыли (убытки)'!M15</f>
        <v>73.20500000000004</v>
      </c>
      <c r="N19" s="126">
        <f>'прибыли (убытки)'!N15</f>
        <v>80.52550000000005</v>
      </c>
      <c r="O19" s="126">
        <f>'прибыли (убытки)'!O15</f>
        <v>88.57805000000006</v>
      </c>
      <c r="P19" s="126">
        <f>'прибыли (убытки)'!P15</f>
        <v>97.43585500000007</v>
      </c>
      <c r="Q19" s="126">
        <f>'прибыли (убытки)'!Q15</f>
        <v>107.1794405000001</v>
      </c>
      <c r="R19" s="126">
        <f>'прибыли (убытки)'!R15</f>
        <v>117.89738455000011</v>
      </c>
      <c r="S19" s="126">
        <f>'прибыли (убытки)'!S15</f>
        <v>129.68712300500013</v>
      </c>
      <c r="T19" s="126">
        <f>'прибыли (убытки)'!T15</f>
        <v>142.65583530550015</v>
      </c>
      <c r="U19" s="27">
        <f aca="true" t="shared" si="13" ref="U19:U32">SUM(I19:T19)</f>
        <v>1069.2141883605007</v>
      </c>
      <c r="V19" s="27">
        <f t="shared" si="6"/>
        <v>1269.2141883605007</v>
      </c>
      <c r="W19" s="161">
        <f t="shared" si="9"/>
        <v>1269.2141883605007</v>
      </c>
    </row>
    <row r="20" spans="1:23" ht="12.75" outlineLevel="1">
      <c r="A20" s="139" t="s">
        <v>31</v>
      </c>
      <c r="B20" s="28">
        <f>'прибыли (убытки)'!B16</f>
        <v>0</v>
      </c>
      <c r="C20" s="28">
        <f>'прибыли (убытки)'!C16</f>
        <v>0</v>
      </c>
      <c r="D20" s="28">
        <f>'прибыли (убытки)'!D16</f>
        <v>0</v>
      </c>
      <c r="E20" s="28">
        <f>'прибыли (убытки)'!E16</f>
        <v>50</v>
      </c>
      <c r="F20" s="28">
        <f>'прибыли (убытки)'!F16</f>
        <v>100</v>
      </c>
      <c r="G20" s="28">
        <f>'прибыли (убытки)'!G16</f>
        <v>200</v>
      </c>
      <c r="H20" s="38">
        <f t="shared" si="12"/>
        <v>350</v>
      </c>
      <c r="I20" s="126">
        <f>'прибыли (убытки)'!I16</f>
        <v>200</v>
      </c>
      <c r="J20" s="126">
        <f>'прибыли (убытки)'!J16</f>
        <v>200</v>
      </c>
      <c r="K20" s="126">
        <f>'прибыли (убытки)'!K16</f>
        <v>200</v>
      </c>
      <c r="L20" s="126">
        <f>'прибыли (убытки)'!L16</f>
        <v>200</v>
      </c>
      <c r="M20" s="126">
        <f>'прибыли (убытки)'!M16</f>
        <v>200</v>
      </c>
      <c r="N20" s="126">
        <f>'прибыли (убытки)'!N16</f>
        <v>200</v>
      </c>
      <c r="O20" s="126">
        <f>'прибыли (убытки)'!O16</f>
        <v>200</v>
      </c>
      <c r="P20" s="126">
        <f>'прибыли (убытки)'!P16</f>
        <v>200</v>
      </c>
      <c r="Q20" s="126">
        <f>'прибыли (убытки)'!Q16</f>
        <v>200</v>
      </c>
      <c r="R20" s="126">
        <f>'прибыли (убытки)'!R16</f>
        <v>200</v>
      </c>
      <c r="S20" s="126">
        <f>'прибыли (убытки)'!S16</f>
        <v>200</v>
      </c>
      <c r="T20" s="126">
        <f>'прибыли (убытки)'!T16</f>
        <v>200</v>
      </c>
      <c r="U20" s="27">
        <f t="shared" si="13"/>
        <v>2400</v>
      </c>
      <c r="V20" s="27">
        <f aca="true" t="shared" si="14" ref="V20:V32">SUM(H20,U20)</f>
        <v>2750</v>
      </c>
      <c r="W20" s="161">
        <f t="shared" si="9"/>
        <v>2750</v>
      </c>
    </row>
    <row r="21" spans="1:23" ht="12.75" outlineLevel="1">
      <c r="A21" s="141" t="s">
        <v>32</v>
      </c>
      <c r="B21" s="35">
        <f aca="true" t="shared" si="15" ref="B21:G21">SUM(B22:B24)</f>
        <v>0</v>
      </c>
      <c r="C21" s="36">
        <f t="shared" si="15"/>
        <v>0</v>
      </c>
      <c r="D21" s="36">
        <f t="shared" si="15"/>
        <v>0</v>
      </c>
      <c r="E21" s="36">
        <f t="shared" si="15"/>
        <v>0</v>
      </c>
      <c r="F21" s="36">
        <f t="shared" si="15"/>
        <v>150</v>
      </c>
      <c r="G21" s="37">
        <f t="shared" si="15"/>
        <v>300</v>
      </c>
      <c r="H21" s="38">
        <f t="shared" si="12"/>
        <v>450</v>
      </c>
      <c r="I21" s="48">
        <f aca="true" t="shared" si="16" ref="I21:T21">SUM(I22:I24)</f>
        <v>300</v>
      </c>
      <c r="J21" s="48">
        <f t="shared" si="16"/>
        <v>330.00000000000006</v>
      </c>
      <c r="K21" s="48">
        <f t="shared" si="16"/>
        <v>363.0000000000001</v>
      </c>
      <c r="L21" s="48">
        <f t="shared" si="16"/>
        <v>399.3000000000002</v>
      </c>
      <c r="M21" s="48">
        <f t="shared" si="16"/>
        <v>439.23000000000025</v>
      </c>
      <c r="N21" s="48">
        <f t="shared" si="16"/>
        <v>483.1530000000003</v>
      </c>
      <c r="O21" s="48">
        <f t="shared" si="16"/>
        <v>531.4683000000003</v>
      </c>
      <c r="P21" s="48">
        <f t="shared" si="16"/>
        <v>584.6151300000005</v>
      </c>
      <c r="Q21" s="48">
        <f t="shared" si="16"/>
        <v>643.0766430000006</v>
      </c>
      <c r="R21" s="48">
        <f t="shared" si="16"/>
        <v>707.3843073000007</v>
      </c>
      <c r="S21" s="48">
        <f t="shared" si="16"/>
        <v>778.1227380300008</v>
      </c>
      <c r="T21" s="48">
        <f t="shared" si="16"/>
        <v>855.9350118330009</v>
      </c>
      <c r="U21" s="27">
        <f t="shared" si="13"/>
        <v>6415.285130163005</v>
      </c>
      <c r="V21" s="27">
        <f t="shared" si="14"/>
        <v>6865.285130163005</v>
      </c>
      <c r="W21" s="161">
        <f t="shared" si="9"/>
        <v>6865.285130163005</v>
      </c>
    </row>
    <row r="22" spans="1:23" ht="12.75" outlineLevel="2">
      <c r="A22" s="140" t="s">
        <v>33</v>
      </c>
      <c r="B22" s="28">
        <f>'прибыли (убытки)'!B18</f>
        <v>0</v>
      </c>
      <c r="C22" s="28">
        <f>'прибыли (убытки)'!C18</f>
        <v>0</v>
      </c>
      <c r="D22" s="28">
        <f>'прибыли (убытки)'!D18</f>
        <v>0</v>
      </c>
      <c r="E22" s="28">
        <f>'прибыли (убытки)'!E18</f>
        <v>0</v>
      </c>
      <c r="F22" s="28">
        <f>'прибыли (убытки)'!F18</f>
        <v>50</v>
      </c>
      <c r="G22" s="28">
        <f>'прибыли (убытки)'!G18</f>
        <v>100</v>
      </c>
      <c r="H22" s="38">
        <f t="shared" si="12"/>
        <v>150</v>
      </c>
      <c r="I22" s="126">
        <f>'прибыли (убытки)'!I18</f>
        <v>100</v>
      </c>
      <c r="J22" s="126">
        <f>'прибыли (убытки)'!J18</f>
        <v>110.00000000000001</v>
      </c>
      <c r="K22" s="126">
        <f>'прибыли (убытки)'!K18</f>
        <v>121.00000000000003</v>
      </c>
      <c r="L22" s="126">
        <f>'прибыли (убытки)'!L18</f>
        <v>133.10000000000005</v>
      </c>
      <c r="M22" s="126">
        <f>'прибыли (убытки)'!M18</f>
        <v>146.41000000000008</v>
      </c>
      <c r="N22" s="126">
        <f>'прибыли (убытки)'!N18</f>
        <v>161.0510000000001</v>
      </c>
      <c r="O22" s="126">
        <f>'прибыли (убытки)'!O18</f>
        <v>177.15610000000012</v>
      </c>
      <c r="P22" s="126">
        <f>'прибыли (убытки)'!P18</f>
        <v>194.87171000000015</v>
      </c>
      <c r="Q22" s="126">
        <f>'прибыли (убытки)'!Q18</f>
        <v>214.3588810000002</v>
      </c>
      <c r="R22" s="126">
        <f>'прибыли (убытки)'!R18</f>
        <v>235.79476910000022</v>
      </c>
      <c r="S22" s="126">
        <f>'прибыли (убытки)'!S18</f>
        <v>259.37424601000026</v>
      </c>
      <c r="T22" s="126">
        <f>'прибыли (убытки)'!T18</f>
        <v>285.3116706110003</v>
      </c>
      <c r="U22" s="27">
        <f t="shared" si="13"/>
        <v>2138.4283767210013</v>
      </c>
      <c r="V22" s="27">
        <f t="shared" si="14"/>
        <v>2288.4283767210013</v>
      </c>
      <c r="W22" s="161">
        <f t="shared" si="9"/>
        <v>2288.4283767210013</v>
      </c>
    </row>
    <row r="23" spans="1:23" ht="12.75" outlineLevel="2">
      <c r="A23" s="140" t="s">
        <v>34</v>
      </c>
      <c r="B23" s="28">
        <f>'прибыли (убытки)'!B19</f>
        <v>0</v>
      </c>
      <c r="C23" s="28">
        <f>'прибыли (убытки)'!C19</f>
        <v>0</v>
      </c>
      <c r="D23" s="28">
        <f>'прибыли (убытки)'!D19</f>
        <v>0</v>
      </c>
      <c r="E23" s="28">
        <f>'прибыли (убытки)'!E19</f>
        <v>0</v>
      </c>
      <c r="F23" s="28">
        <f>'прибыли (убытки)'!F19</f>
        <v>50</v>
      </c>
      <c r="G23" s="28">
        <f>'прибыли (убытки)'!G19</f>
        <v>100</v>
      </c>
      <c r="H23" s="38">
        <f t="shared" si="12"/>
        <v>150</v>
      </c>
      <c r="I23" s="126">
        <f>'прибыли (убытки)'!I19</f>
        <v>100</v>
      </c>
      <c r="J23" s="126">
        <f>'прибыли (убытки)'!J19</f>
        <v>110.00000000000001</v>
      </c>
      <c r="K23" s="126">
        <f>'прибыли (убытки)'!K19</f>
        <v>121.00000000000003</v>
      </c>
      <c r="L23" s="126">
        <f>'прибыли (убытки)'!L19</f>
        <v>133.10000000000005</v>
      </c>
      <c r="M23" s="126">
        <f>'прибыли (убытки)'!M19</f>
        <v>146.41000000000008</v>
      </c>
      <c r="N23" s="126">
        <f>'прибыли (убытки)'!N19</f>
        <v>161.0510000000001</v>
      </c>
      <c r="O23" s="126">
        <f>'прибыли (убытки)'!O19</f>
        <v>177.15610000000012</v>
      </c>
      <c r="P23" s="126">
        <f>'прибыли (убытки)'!P19</f>
        <v>194.87171000000015</v>
      </c>
      <c r="Q23" s="126">
        <f>'прибыли (убытки)'!Q19</f>
        <v>214.3588810000002</v>
      </c>
      <c r="R23" s="126">
        <f>'прибыли (убытки)'!R19</f>
        <v>235.79476910000022</v>
      </c>
      <c r="S23" s="126">
        <f>'прибыли (убытки)'!S19</f>
        <v>259.37424601000026</v>
      </c>
      <c r="T23" s="126">
        <f>'прибыли (убытки)'!T19</f>
        <v>285.3116706110003</v>
      </c>
      <c r="U23" s="27">
        <f t="shared" si="13"/>
        <v>2138.4283767210013</v>
      </c>
      <c r="V23" s="27">
        <f t="shared" si="14"/>
        <v>2288.4283767210013</v>
      </c>
      <c r="W23" s="161">
        <f t="shared" si="9"/>
        <v>2288.4283767210013</v>
      </c>
    </row>
    <row r="24" spans="1:23" ht="12.75" outlineLevel="2">
      <c r="A24" s="140" t="s">
        <v>35</v>
      </c>
      <c r="B24" s="28">
        <f>'прибыли (убытки)'!B20</f>
        <v>0</v>
      </c>
      <c r="C24" s="28">
        <f>'прибыли (убытки)'!C20</f>
        <v>0</v>
      </c>
      <c r="D24" s="28">
        <f>'прибыли (убытки)'!D20</f>
        <v>0</v>
      </c>
      <c r="E24" s="28">
        <f>'прибыли (убытки)'!E20</f>
        <v>0</v>
      </c>
      <c r="F24" s="28">
        <f>'прибыли (убытки)'!F20</f>
        <v>50</v>
      </c>
      <c r="G24" s="28">
        <f>'прибыли (убытки)'!G20</f>
        <v>100</v>
      </c>
      <c r="H24" s="38">
        <f t="shared" si="12"/>
        <v>150</v>
      </c>
      <c r="I24" s="126">
        <f>'прибыли (убытки)'!I20</f>
        <v>100</v>
      </c>
      <c r="J24" s="126">
        <f>'прибыли (убытки)'!J20</f>
        <v>110.00000000000001</v>
      </c>
      <c r="K24" s="126">
        <f>'прибыли (убытки)'!K20</f>
        <v>121.00000000000003</v>
      </c>
      <c r="L24" s="126">
        <f>'прибыли (убытки)'!L20</f>
        <v>133.10000000000005</v>
      </c>
      <c r="M24" s="126">
        <f>'прибыли (убытки)'!M20</f>
        <v>146.41000000000008</v>
      </c>
      <c r="N24" s="126">
        <f>'прибыли (убытки)'!N20</f>
        <v>161.0510000000001</v>
      </c>
      <c r="O24" s="126">
        <f>'прибыли (убытки)'!O20</f>
        <v>177.15610000000012</v>
      </c>
      <c r="P24" s="126">
        <f>'прибыли (убытки)'!P20</f>
        <v>194.87171000000015</v>
      </c>
      <c r="Q24" s="126">
        <f>'прибыли (убытки)'!Q20</f>
        <v>214.3588810000002</v>
      </c>
      <c r="R24" s="126">
        <f>'прибыли (убытки)'!R20</f>
        <v>235.79476910000022</v>
      </c>
      <c r="S24" s="126">
        <f>'прибыли (убытки)'!S20</f>
        <v>259.37424601000026</v>
      </c>
      <c r="T24" s="126">
        <f>'прибыли (убытки)'!T20</f>
        <v>285.3116706110003</v>
      </c>
      <c r="U24" s="27">
        <f t="shared" si="13"/>
        <v>2138.4283767210013</v>
      </c>
      <c r="V24" s="27">
        <f t="shared" si="14"/>
        <v>2288.4283767210013</v>
      </c>
      <c r="W24" s="161">
        <f t="shared" si="9"/>
        <v>2288.4283767210013</v>
      </c>
    </row>
    <row r="25" spans="1:23" ht="12.75" outlineLevel="1">
      <c r="A25" s="139" t="s">
        <v>36</v>
      </c>
      <c r="B25" s="25">
        <f aca="true" t="shared" si="17" ref="B25:G25">SUM(B26:B28)</f>
        <v>0</v>
      </c>
      <c r="C25" s="26">
        <f t="shared" si="17"/>
        <v>0</v>
      </c>
      <c r="D25" s="26">
        <f t="shared" si="17"/>
        <v>0</v>
      </c>
      <c r="E25" s="26">
        <f t="shared" si="17"/>
        <v>1000</v>
      </c>
      <c r="F25" s="26">
        <f t="shared" si="17"/>
        <v>2550</v>
      </c>
      <c r="G25" s="31">
        <f t="shared" si="17"/>
        <v>2600</v>
      </c>
      <c r="H25" s="38">
        <f t="shared" si="12"/>
        <v>6150</v>
      </c>
      <c r="I25" s="33">
        <f aca="true" t="shared" si="18" ref="I25:T25">SUM(I26:I28)</f>
        <v>3600</v>
      </c>
      <c r="J25" s="33">
        <f t="shared" si="18"/>
        <v>3600</v>
      </c>
      <c r="K25" s="33">
        <f t="shared" si="18"/>
        <v>3600</v>
      </c>
      <c r="L25" s="33">
        <f t="shared" si="18"/>
        <v>4600</v>
      </c>
      <c r="M25" s="33">
        <f t="shared" si="18"/>
        <v>4600</v>
      </c>
      <c r="N25" s="33">
        <f t="shared" si="18"/>
        <v>5600</v>
      </c>
      <c r="O25" s="33">
        <f t="shared" si="18"/>
        <v>5950</v>
      </c>
      <c r="P25" s="33">
        <f t="shared" si="18"/>
        <v>5950</v>
      </c>
      <c r="Q25" s="33">
        <f t="shared" si="18"/>
        <v>8500</v>
      </c>
      <c r="R25" s="33">
        <f t="shared" si="18"/>
        <v>8500</v>
      </c>
      <c r="S25" s="33">
        <f t="shared" si="18"/>
        <v>8800</v>
      </c>
      <c r="T25" s="33">
        <f t="shared" si="18"/>
        <v>8800</v>
      </c>
      <c r="U25" s="27">
        <f t="shared" si="13"/>
        <v>72100</v>
      </c>
      <c r="V25" s="27">
        <f t="shared" si="14"/>
        <v>78250</v>
      </c>
      <c r="W25" s="161">
        <f t="shared" si="9"/>
        <v>78250</v>
      </c>
    </row>
    <row r="26" spans="1:23" ht="25.5" outlineLevel="1">
      <c r="A26" s="140" t="s">
        <v>37</v>
      </c>
      <c r="B26" s="28">
        <f>'прибыли (убытки)'!B22</f>
        <v>0</v>
      </c>
      <c r="C26" s="28">
        <f>'прибыли (убытки)'!C22</f>
        <v>0</v>
      </c>
      <c r="D26" s="28">
        <f>'прибыли (убытки)'!D22</f>
        <v>0</v>
      </c>
      <c r="E26" s="28">
        <f>'прибыли (убытки)'!E22</f>
        <v>1000</v>
      </c>
      <c r="F26" s="28">
        <f>'прибыли (убытки)'!F22</f>
        <v>2000</v>
      </c>
      <c r="G26" s="28">
        <f>'прибыли (убытки)'!G22</f>
        <v>2000</v>
      </c>
      <c r="H26" s="118">
        <f t="shared" si="12"/>
        <v>5000</v>
      </c>
      <c r="I26" s="126">
        <f>'прибыли (убытки)'!I22</f>
        <v>3000</v>
      </c>
      <c r="J26" s="126">
        <f>'прибыли (убытки)'!J22</f>
        <v>3000</v>
      </c>
      <c r="K26" s="126">
        <f>'прибыли (убытки)'!K22</f>
        <v>3000</v>
      </c>
      <c r="L26" s="126">
        <f>'прибыли (убытки)'!L22</f>
        <v>4000</v>
      </c>
      <c r="M26" s="126">
        <f>'прибыли (убытки)'!M22</f>
        <v>4000</v>
      </c>
      <c r="N26" s="126">
        <f>'прибыли (убытки)'!N22</f>
        <v>5000</v>
      </c>
      <c r="O26" s="126">
        <f>'прибыли (убытки)'!O22</f>
        <v>5000</v>
      </c>
      <c r="P26" s="126">
        <f>'прибыли (убытки)'!P22</f>
        <v>5000</v>
      </c>
      <c r="Q26" s="126">
        <f>'прибыли (убытки)'!Q22</f>
        <v>7000</v>
      </c>
      <c r="R26" s="126">
        <f>'прибыли (убытки)'!R22</f>
        <v>7000</v>
      </c>
      <c r="S26" s="126">
        <f>'прибыли (убытки)'!S22</f>
        <v>7000</v>
      </c>
      <c r="T26" s="126">
        <f>'прибыли (убытки)'!T22</f>
        <v>7000</v>
      </c>
      <c r="U26" s="38">
        <f t="shared" si="13"/>
        <v>60000</v>
      </c>
      <c r="V26" s="38">
        <f t="shared" si="14"/>
        <v>65000</v>
      </c>
      <c r="W26" s="161">
        <f t="shared" si="9"/>
        <v>65000</v>
      </c>
    </row>
    <row r="27" spans="1:23" ht="25.5" outlineLevel="1">
      <c r="A27" s="140" t="s">
        <v>38</v>
      </c>
      <c r="B27" s="28">
        <f>'прибыли (убытки)'!B23</f>
        <v>0</v>
      </c>
      <c r="C27" s="28">
        <f>'прибыли (убытки)'!C23</f>
        <v>0</v>
      </c>
      <c r="D27" s="28">
        <f>'прибыли (убытки)'!D23</f>
        <v>0</v>
      </c>
      <c r="E27" s="28">
        <f>'прибыли (убытки)'!E23</f>
        <v>0</v>
      </c>
      <c r="F27" s="28">
        <f>'прибыли (убытки)'!F23</f>
        <v>500</v>
      </c>
      <c r="G27" s="28">
        <f>'прибыли (убытки)'!G23</f>
        <v>500</v>
      </c>
      <c r="H27" s="118">
        <f t="shared" si="12"/>
        <v>1000</v>
      </c>
      <c r="I27" s="126">
        <f>'прибыли (убытки)'!I23</f>
        <v>500</v>
      </c>
      <c r="J27" s="126">
        <f>'прибыли (убытки)'!J23</f>
        <v>500</v>
      </c>
      <c r="K27" s="126">
        <f>'прибыли (убытки)'!K23</f>
        <v>500</v>
      </c>
      <c r="L27" s="126">
        <f>'прибыли (убытки)'!L23</f>
        <v>500</v>
      </c>
      <c r="M27" s="126">
        <f>'прибыли (убытки)'!M23</f>
        <v>500</v>
      </c>
      <c r="N27" s="126">
        <f>'прибыли (убытки)'!N23</f>
        <v>500</v>
      </c>
      <c r="O27" s="126">
        <f>'прибыли (убытки)'!O23</f>
        <v>750</v>
      </c>
      <c r="P27" s="126">
        <f>'прибыли (убытки)'!P23</f>
        <v>750</v>
      </c>
      <c r="Q27" s="126">
        <f>'прибыли (убытки)'!Q23</f>
        <v>1250</v>
      </c>
      <c r="R27" s="126">
        <f>'прибыли (убытки)'!R23</f>
        <v>1250</v>
      </c>
      <c r="S27" s="126">
        <f>'прибыли (убытки)'!S23</f>
        <v>1500</v>
      </c>
      <c r="T27" s="126">
        <f>'прибыли (убытки)'!T23</f>
        <v>1500</v>
      </c>
      <c r="U27" s="38">
        <f t="shared" si="13"/>
        <v>10000</v>
      </c>
      <c r="V27" s="38">
        <f t="shared" si="14"/>
        <v>11000</v>
      </c>
      <c r="W27" s="161">
        <f t="shared" si="9"/>
        <v>11000</v>
      </c>
    </row>
    <row r="28" spans="1:23" ht="25.5" outlineLevel="1">
      <c r="A28" s="140" t="s">
        <v>39</v>
      </c>
      <c r="B28" s="28">
        <f>'прибыли (убытки)'!B24</f>
        <v>0</v>
      </c>
      <c r="C28" s="28">
        <f>'прибыли (убытки)'!C24</f>
        <v>0</v>
      </c>
      <c r="D28" s="28">
        <f>'прибыли (убытки)'!D24</f>
        <v>0</v>
      </c>
      <c r="E28" s="28">
        <f>'прибыли (убытки)'!E24</f>
        <v>0</v>
      </c>
      <c r="F28" s="28">
        <f>'прибыли (убытки)'!F24</f>
        <v>50</v>
      </c>
      <c r="G28" s="28">
        <f>'прибыли (убытки)'!G24</f>
        <v>100</v>
      </c>
      <c r="H28" s="118">
        <f t="shared" si="12"/>
        <v>150</v>
      </c>
      <c r="I28" s="126">
        <f>'прибыли (убытки)'!I24</f>
        <v>100</v>
      </c>
      <c r="J28" s="126">
        <f>'прибыли (убытки)'!J24</f>
        <v>100</v>
      </c>
      <c r="K28" s="126">
        <f>'прибыли (убытки)'!K24</f>
        <v>100</v>
      </c>
      <c r="L28" s="126">
        <f>'прибыли (убытки)'!L24</f>
        <v>100</v>
      </c>
      <c r="M28" s="126">
        <f>'прибыли (убытки)'!M24</f>
        <v>100</v>
      </c>
      <c r="N28" s="126">
        <f>'прибыли (убытки)'!N24</f>
        <v>100</v>
      </c>
      <c r="O28" s="126">
        <f>'прибыли (убытки)'!O24</f>
        <v>200</v>
      </c>
      <c r="P28" s="126">
        <f>'прибыли (убытки)'!P24</f>
        <v>200</v>
      </c>
      <c r="Q28" s="126">
        <f>'прибыли (убытки)'!Q24</f>
        <v>250</v>
      </c>
      <c r="R28" s="126">
        <f>'прибыли (убытки)'!R24</f>
        <v>250</v>
      </c>
      <c r="S28" s="126">
        <f>'прибыли (убытки)'!S24</f>
        <v>300</v>
      </c>
      <c r="T28" s="126">
        <f>'прибыли (убытки)'!T24</f>
        <v>300</v>
      </c>
      <c r="U28" s="38">
        <f t="shared" si="13"/>
        <v>2100</v>
      </c>
      <c r="V28" s="38">
        <f t="shared" si="14"/>
        <v>2250</v>
      </c>
      <c r="W28" s="161">
        <f t="shared" si="9"/>
        <v>2250</v>
      </c>
    </row>
    <row r="29" spans="1:23" ht="12.75">
      <c r="A29" s="138" t="s">
        <v>40</v>
      </c>
      <c r="B29" s="39">
        <f aca="true" t="shared" si="19" ref="B29:G29">SUM(B30:B31)</f>
        <v>0</v>
      </c>
      <c r="C29" s="39">
        <f t="shared" si="19"/>
        <v>0</v>
      </c>
      <c r="D29" s="39">
        <f t="shared" si="19"/>
        <v>0</v>
      </c>
      <c r="E29" s="39">
        <f t="shared" si="19"/>
        <v>0</v>
      </c>
      <c r="F29" s="39">
        <f t="shared" si="19"/>
        <v>0</v>
      </c>
      <c r="G29" s="39">
        <f t="shared" si="19"/>
        <v>0</v>
      </c>
      <c r="H29" s="118">
        <f t="shared" si="12"/>
        <v>0</v>
      </c>
      <c r="I29" s="22">
        <f aca="true" t="shared" si="20" ref="I29:T29">SUM(I30:I31)</f>
        <v>1000</v>
      </c>
      <c r="J29" s="22">
        <f t="shared" si="20"/>
        <v>2000</v>
      </c>
      <c r="K29" s="22">
        <f t="shared" si="20"/>
        <v>2000</v>
      </c>
      <c r="L29" s="22">
        <f t="shared" si="20"/>
        <v>2000</v>
      </c>
      <c r="M29" s="22">
        <f t="shared" si="20"/>
        <v>2000</v>
      </c>
      <c r="N29" s="22">
        <f t="shared" si="20"/>
        <v>2000</v>
      </c>
      <c r="O29" s="22">
        <f t="shared" si="20"/>
        <v>2000</v>
      </c>
      <c r="P29" s="22">
        <f t="shared" si="20"/>
        <v>2000</v>
      </c>
      <c r="Q29" s="22">
        <f t="shared" si="20"/>
        <v>2000</v>
      </c>
      <c r="R29" s="22">
        <f t="shared" si="20"/>
        <v>2000</v>
      </c>
      <c r="S29" s="22">
        <f t="shared" si="20"/>
        <v>2000</v>
      </c>
      <c r="T29" s="22">
        <f t="shared" si="20"/>
        <v>2000</v>
      </c>
      <c r="U29" s="19">
        <f t="shared" si="13"/>
        <v>23000</v>
      </c>
      <c r="V29" s="19">
        <f t="shared" si="14"/>
        <v>23000</v>
      </c>
      <c r="W29" s="119">
        <f>SUM(W30:W31)</f>
        <v>23000</v>
      </c>
    </row>
    <row r="30" spans="1:23" ht="38.25" outlineLevel="1">
      <c r="A30" s="140" t="s">
        <v>42</v>
      </c>
      <c r="B30" s="29"/>
      <c r="C30" s="29">
        <f>'прибыли (убытки)'!C27</f>
        <v>0</v>
      </c>
      <c r="D30" s="29">
        <f>'прибыли (убытки)'!D27</f>
        <v>0</v>
      </c>
      <c r="E30" s="29">
        <f>'прибыли (убытки)'!E27</f>
        <v>0</v>
      </c>
      <c r="F30" s="29">
        <f>'прибыли (убытки)'!F27</f>
        <v>0</v>
      </c>
      <c r="G30" s="29">
        <f>'прибыли (убытки)'!G27</f>
        <v>0</v>
      </c>
      <c r="H30" s="118">
        <f t="shared" si="12"/>
        <v>0</v>
      </c>
      <c r="I30" s="29">
        <f>'прибыли (убытки)'!I27</f>
        <v>0</v>
      </c>
      <c r="J30" s="29">
        <f>'прибыли (убытки)'!J27</f>
        <v>0</v>
      </c>
      <c r="K30" s="29">
        <f>'прибыли (убытки)'!K27</f>
        <v>0</v>
      </c>
      <c r="L30" s="29">
        <f>'прибыли (убытки)'!L27</f>
        <v>0</v>
      </c>
      <c r="M30" s="29">
        <f>'прибыли (убытки)'!M27</f>
        <v>0</v>
      </c>
      <c r="N30" s="29">
        <f>'прибыли (убытки)'!N27</f>
        <v>0</v>
      </c>
      <c r="O30" s="29">
        <f>'прибыли (убытки)'!O27</f>
        <v>0</v>
      </c>
      <c r="P30" s="29">
        <f>'прибыли (убытки)'!P27</f>
        <v>0</v>
      </c>
      <c r="Q30" s="29">
        <f>'прибыли (убытки)'!Q27</f>
        <v>0</v>
      </c>
      <c r="R30" s="29">
        <f>'прибыли (убытки)'!R27</f>
        <v>0</v>
      </c>
      <c r="S30" s="29">
        <f>'прибыли (убытки)'!S27</f>
        <v>0</v>
      </c>
      <c r="T30" s="29">
        <f>'прибыли (убытки)'!T27</f>
        <v>0</v>
      </c>
      <c r="U30" s="27">
        <f t="shared" si="13"/>
        <v>0</v>
      </c>
      <c r="V30" s="27">
        <f t="shared" si="14"/>
        <v>0</v>
      </c>
      <c r="W30" s="161">
        <f>V30</f>
        <v>0</v>
      </c>
    </row>
    <row r="31" spans="1:23" ht="12.75">
      <c r="A31" s="156" t="s">
        <v>43</v>
      </c>
      <c r="B31" s="29">
        <f>'прибыли (убытки)'!B28</f>
        <v>0</v>
      </c>
      <c r="C31" s="29">
        <f>'прибыли (убытки)'!C28</f>
        <v>0</v>
      </c>
      <c r="D31" s="29">
        <f>'прибыли (убытки)'!D28</f>
        <v>0</v>
      </c>
      <c r="E31" s="29">
        <f>'прибыли (убытки)'!E28</f>
        <v>0</v>
      </c>
      <c r="F31" s="29">
        <f>'прибыли (убытки)'!F28</f>
        <v>0</v>
      </c>
      <c r="G31" s="29">
        <f>'прибыли (убытки)'!G28</f>
        <v>0</v>
      </c>
      <c r="H31" s="118">
        <f t="shared" si="12"/>
        <v>0</v>
      </c>
      <c r="I31" s="29">
        <f>'прибыли (убытки)'!I28</f>
        <v>1000</v>
      </c>
      <c r="J31" s="29">
        <f>'прибыли (убытки)'!J28</f>
        <v>2000</v>
      </c>
      <c r="K31" s="29">
        <f>'прибыли (убытки)'!K28</f>
        <v>2000</v>
      </c>
      <c r="L31" s="29">
        <f>'прибыли (убытки)'!L28</f>
        <v>2000</v>
      </c>
      <c r="M31" s="29">
        <f>'прибыли (убытки)'!M28</f>
        <v>2000</v>
      </c>
      <c r="N31" s="29">
        <f>'прибыли (убытки)'!N28</f>
        <v>2000</v>
      </c>
      <c r="O31" s="29">
        <f>'прибыли (убытки)'!O28</f>
        <v>2000</v>
      </c>
      <c r="P31" s="29">
        <f>'прибыли (убытки)'!P28</f>
        <v>2000</v>
      </c>
      <c r="Q31" s="29">
        <f>'прибыли (убытки)'!Q28</f>
        <v>2000</v>
      </c>
      <c r="R31" s="29">
        <f>'прибыли (убытки)'!R28</f>
        <v>2000</v>
      </c>
      <c r="S31" s="29">
        <f>'прибыли (убытки)'!S28</f>
        <v>2000</v>
      </c>
      <c r="T31" s="29">
        <f>'прибыли (убытки)'!T28</f>
        <v>2000</v>
      </c>
      <c r="U31" s="40">
        <f t="shared" si="13"/>
        <v>23000</v>
      </c>
      <c r="V31" s="40">
        <f t="shared" si="14"/>
        <v>23000</v>
      </c>
      <c r="W31" s="162">
        <f>V31</f>
        <v>23000</v>
      </c>
    </row>
    <row r="32" spans="1:23" ht="12.75">
      <c r="A32" s="142" t="s">
        <v>99</v>
      </c>
      <c r="B32" s="134">
        <f>B34+B56+B60+B73</f>
        <v>13710.666666666668</v>
      </c>
      <c r="C32" s="134">
        <f aca="true" t="shared" si="21" ref="C32:R32">C34+C56+C60+C73</f>
        <v>2706.6666666666665</v>
      </c>
      <c r="D32" s="134">
        <f t="shared" si="21"/>
        <v>3693.0666666666666</v>
      </c>
      <c r="E32" s="134">
        <f t="shared" si="21"/>
        <v>4641.946666666666</v>
      </c>
      <c r="F32" s="134">
        <f t="shared" si="21"/>
        <v>5475.366666666666</v>
      </c>
      <c r="G32" s="134">
        <f t="shared" si="21"/>
        <v>5709.186666666666</v>
      </c>
      <c r="H32" s="118">
        <f t="shared" si="12"/>
        <v>35936.9</v>
      </c>
      <c r="I32" s="134">
        <f t="shared" si="21"/>
        <v>8288.386666666667</v>
      </c>
      <c r="J32" s="134">
        <f t="shared" si="21"/>
        <v>9479.197625</v>
      </c>
      <c r="K32" s="134">
        <f t="shared" si="21"/>
        <v>9647.1750875</v>
      </c>
      <c r="L32" s="134">
        <f t="shared" si="21"/>
        <v>10409.38529625</v>
      </c>
      <c r="M32" s="134">
        <f t="shared" si="21"/>
        <v>10614.003025875001</v>
      </c>
      <c r="N32" s="134">
        <f t="shared" si="21"/>
        <v>11416.517528462502</v>
      </c>
      <c r="O32" s="134">
        <f t="shared" si="21"/>
        <v>12700.969731308753</v>
      </c>
      <c r="P32" s="134">
        <f t="shared" si="21"/>
        <v>12975.467429439626</v>
      </c>
      <c r="Q32" s="134">
        <f t="shared" si="21"/>
        <v>14748.86664738359</v>
      </c>
      <c r="R32" s="134">
        <f t="shared" si="21"/>
        <v>15082.37386212195</v>
      </c>
      <c r="S32" s="134">
        <f>S34+S56+S60+S73</f>
        <v>15622.917298334145</v>
      </c>
      <c r="T32" s="134">
        <f>T34+T56+T60+T73</f>
        <v>16027.826028167561</v>
      </c>
      <c r="U32" s="40">
        <f t="shared" si="13"/>
        <v>147013.0862265098</v>
      </c>
      <c r="V32" s="40">
        <f t="shared" si="14"/>
        <v>182949.9862265098</v>
      </c>
      <c r="W32" s="162">
        <f>W34+W56+W60+W73</f>
        <v>124522.88008361452</v>
      </c>
    </row>
    <row r="33" spans="1:23" ht="12.75" hidden="1">
      <c r="A33" s="157"/>
      <c r="H33" s="143"/>
      <c r="V33" s="120"/>
      <c r="W33" s="161">
        <f>V33</f>
        <v>0</v>
      </c>
    </row>
    <row r="34" spans="1:23" ht="25.5">
      <c r="A34" s="144" t="s">
        <v>100</v>
      </c>
      <c r="B34" s="41">
        <f>SUM(B35,B46,B51:B55)</f>
        <v>1763.3333333333333</v>
      </c>
      <c r="C34" s="41">
        <f aca="true" t="shared" si="22" ref="C34:R34">SUM(C35,C46,C51:C55)</f>
        <v>2483.333333333333</v>
      </c>
      <c r="D34" s="41">
        <f t="shared" si="22"/>
        <v>3083.333333333333</v>
      </c>
      <c r="E34" s="41">
        <f t="shared" si="22"/>
        <v>3553.333333333333</v>
      </c>
      <c r="F34" s="41">
        <f t="shared" si="22"/>
        <v>3870.833333333333</v>
      </c>
      <c r="G34" s="41">
        <f t="shared" si="22"/>
        <v>3938.333333333333</v>
      </c>
      <c r="H34" s="118">
        <f aca="true" t="shared" si="23" ref="H34:H49">SUM(B34:G34)</f>
        <v>18692.499999999996</v>
      </c>
      <c r="I34" s="41">
        <f t="shared" si="22"/>
        <v>5938.333333333333</v>
      </c>
      <c r="J34" s="41">
        <f t="shared" si="22"/>
        <v>6065.833333333333</v>
      </c>
      <c r="K34" s="41">
        <f t="shared" si="22"/>
        <v>6096.083333333333</v>
      </c>
      <c r="L34" s="41">
        <f t="shared" si="22"/>
        <v>6229.358333333334</v>
      </c>
      <c r="M34" s="41">
        <f t="shared" si="22"/>
        <v>6265.9608333333335</v>
      </c>
      <c r="N34" s="41">
        <f t="shared" si="22"/>
        <v>6406.223583333333</v>
      </c>
      <c r="O34" s="41">
        <f t="shared" si="22"/>
        <v>7385.512608333333</v>
      </c>
      <c r="P34" s="41">
        <f t="shared" si="22"/>
        <v>7434.230535833333</v>
      </c>
      <c r="Q34" s="41">
        <f t="shared" si="22"/>
        <v>7742.820256083333</v>
      </c>
      <c r="R34" s="41">
        <f t="shared" si="22"/>
        <v>7801.768948358334</v>
      </c>
      <c r="S34" s="41">
        <f>SUM(S35,S46,S51:S55)</f>
        <v>7896.612509860834</v>
      </c>
      <c r="T34" s="41">
        <f>SUM(T35,T46,T51:T55)</f>
        <v>7967.940427513584</v>
      </c>
      <c r="U34" s="42">
        <f>SUM(I34:T34)</f>
        <v>83230.67803598275</v>
      </c>
      <c r="V34" s="42">
        <f aca="true" t="shared" si="24" ref="V34:V49">SUM(H34,U34)</f>
        <v>101923.17803598275</v>
      </c>
      <c r="W34" s="162">
        <f>SUM(W35,W46,W51:W55)</f>
        <v>101923.17803598277</v>
      </c>
    </row>
    <row r="35" spans="1:23" ht="12.75" outlineLevel="1">
      <c r="A35" s="145" t="s">
        <v>49</v>
      </c>
      <c r="B35" s="43">
        <f>SUM(B36:B45)</f>
        <v>500</v>
      </c>
      <c r="C35" s="43">
        <f aca="true" t="shared" si="25" ref="C35:R35">SUM(C36:C45)</f>
        <v>1200</v>
      </c>
      <c r="D35" s="43">
        <f t="shared" si="25"/>
        <v>1700</v>
      </c>
      <c r="E35" s="43">
        <f t="shared" si="25"/>
        <v>2070</v>
      </c>
      <c r="F35" s="43">
        <f t="shared" si="25"/>
        <v>2287.5</v>
      </c>
      <c r="G35" s="43">
        <f t="shared" si="25"/>
        <v>2355</v>
      </c>
      <c r="H35" s="118">
        <f t="shared" si="23"/>
        <v>10112.5</v>
      </c>
      <c r="I35" s="44">
        <f t="shared" si="25"/>
        <v>2955</v>
      </c>
      <c r="J35" s="45">
        <f t="shared" si="25"/>
        <v>3082.5</v>
      </c>
      <c r="K35" s="45">
        <f t="shared" si="25"/>
        <v>3112.75</v>
      </c>
      <c r="L35" s="45">
        <f t="shared" si="25"/>
        <v>3246.025</v>
      </c>
      <c r="M35" s="45">
        <f t="shared" si="25"/>
        <v>3282.6275</v>
      </c>
      <c r="N35" s="45">
        <f t="shared" si="25"/>
        <v>3422.8902500000004</v>
      </c>
      <c r="O35" s="45">
        <f t="shared" si="25"/>
        <v>4402.179275</v>
      </c>
      <c r="P35" s="45">
        <f t="shared" si="25"/>
        <v>4450.8972025</v>
      </c>
      <c r="Q35" s="45">
        <f t="shared" si="25"/>
        <v>4759.48692275</v>
      </c>
      <c r="R35" s="45">
        <f t="shared" si="25"/>
        <v>4818.4356150250005</v>
      </c>
      <c r="S35" s="45">
        <f>SUM(S36:S45)</f>
        <v>4913.279176527501</v>
      </c>
      <c r="T35" s="45">
        <f>SUM(T36:T45)</f>
        <v>4984.607094180251</v>
      </c>
      <c r="U35" s="27">
        <f aca="true" t="shared" si="26" ref="U35:U50">SUM(I35:T35)</f>
        <v>47430.67803598276</v>
      </c>
      <c r="V35" s="27">
        <f t="shared" si="24"/>
        <v>57543.17803598276</v>
      </c>
      <c r="W35" s="161">
        <f aca="true" t="shared" si="27" ref="W35:W59">V35</f>
        <v>57543.17803598276</v>
      </c>
    </row>
    <row r="36" spans="1:23" ht="12.75" outlineLevel="2">
      <c r="A36" s="140" t="s">
        <v>50</v>
      </c>
      <c r="B36" s="46">
        <f>'прибыли (убытки)'!B35</f>
        <v>500</v>
      </c>
      <c r="C36" s="46">
        <f>'прибыли (убытки)'!C35</f>
        <v>500</v>
      </c>
      <c r="D36" s="46">
        <f>'прибыли (убытки)'!D35</f>
        <v>500</v>
      </c>
      <c r="E36" s="46">
        <f>'прибыли (убытки)'!E35</f>
        <v>600</v>
      </c>
      <c r="F36" s="46">
        <f>'прибыли (убытки)'!F35</f>
        <v>600</v>
      </c>
      <c r="G36" s="46">
        <f>'прибыли (убытки)'!G35</f>
        <v>600</v>
      </c>
      <c r="H36" s="118">
        <f t="shared" si="23"/>
        <v>3300</v>
      </c>
      <c r="I36" s="46">
        <f>'прибыли (убытки)'!I35</f>
        <v>600</v>
      </c>
      <c r="J36" s="46">
        <f>'прибыли (убытки)'!J35</f>
        <v>600</v>
      </c>
      <c r="K36" s="46">
        <f>'прибыли (убытки)'!K35</f>
        <v>600</v>
      </c>
      <c r="L36" s="46">
        <f>'прибыли (убытки)'!L35</f>
        <v>600</v>
      </c>
      <c r="M36" s="46">
        <f>'прибыли (убытки)'!M35</f>
        <v>600</v>
      </c>
      <c r="N36" s="46">
        <f>'прибыли (убытки)'!N35</f>
        <v>600</v>
      </c>
      <c r="O36" s="46">
        <f>'прибыли (убытки)'!O35</f>
        <v>600</v>
      </c>
      <c r="P36" s="46">
        <f>'прибыли (убытки)'!P35</f>
        <v>600</v>
      </c>
      <c r="Q36" s="46">
        <f>'прибыли (убытки)'!Q35</f>
        <v>600</v>
      </c>
      <c r="R36" s="46">
        <f>'прибыли (убытки)'!R35</f>
        <v>600</v>
      </c>
      <c r="S36" s="46">
        <f>'прибыли (убытки)'!S35</f>
        <v>600</v>
      </c>
      <c r="T36" s="46">
        <f>'прибыли (убытки)'!T35</f>
        <v>600</v>
      </c>
      <c r="U36" s="27">
        <f t="shared" si="26"/>
        <v>7200</v>
      </c>
      <c r="V36" s="27">
        <f t="shared" si="24"/>
        <v>10500</v>
      </c>
      <c r="W36" s="161">
        <f t="shared" si="27"/>
        <v>10500</v>
      </c>
    </row>
    <row r="37" spans="1:23" ht="12.75" outlineLevel="2">
      <c r="A37" s="140" t="s">
        <v>51</v>
      </c>
      <c r="B37" s="46">
        <f>'прибыли (убытки)'!B36</f>
        <v>0</v>
      </c>
      <c r="C37" s="46">
        <f>'прибыли (убытки)'!C36</f>
        <v>0</v>
      </c>
      <c r="D37" s="46">
        <f>'прибыли (убытки)'!D36</f>
        <v>0</v>
      </c>
      <c r="E37" s="46">
        <f>'прибыли (убытки)'!E36</f>
        <v>0</v>
      </c>
      <c r="F37" s="46">
        <f>'прибыли (убытки)'!F36</f>
        <v>0</v>
      </c>
      <c r="G37" s="46">
        <f>'прибыли (убытки)'!G36</f>
        <v>0</v>
      </c>
      <c r="H37" s="118">
        <f t="shared" si="23"/>
        <v>0</v>
      </c>
      <c r="I37" s="46">
        <f>'прибыли (убытки)'!I36</f>
        <v>0</v>
      </c>
      <c r="J37" s="46">
        <f>'прибыли (убытки)'!J36</f>
        <v>0</v>
      </c>
      <c r="K37" s="46">
        <f>'прибыли (убытки)'!K36</f>
        <v>0</v>
      </c>
      <c r="L37" s="46">
        <f>'прибыли (убытки)'!L36</f>
        <v>0</v>
      </c>
      <c r="M37" s="46">
        <f>'прибыли (убытки)'!M36</f>
        <v>0</v>
      </c>
      <c r="N37" s="46">
        <f>'прибыли (убытки)'!N36</f>
        <v>0</v>
      </c>
      <c r="O37" s="46">
        <f>'прибыли (убытки)'!O36</f>
        <v>400</v>
      </c>
      <c r="P37" s="46">
        <f>'прибыли (убытки)'!P36</f>
        <v>400</v>
      </c>
      <c r="Q37" s="46">
        <f>'прибыли (убытки)'!Q36</f>
        <v>400</v>
      </c>
      <c r="R37" s="46">
        <f>'прибыли (убытки)'!R36</f>
        <v>400</v>
      </c>
      <c r="S37" s="46">
        <f>'прибыли (убытки)'!S36</f>
        <v>400</v>
      </c>
      <c r="T37" s="46">
        <f>'прибыли (убытки)'!T36</f>
        <v>400</v>
      </c>
      <c r="U37" s="27">
        <f t="shared" si="26"/>
        <v>2400</v>
      </c>
      <c r="V37" s="27">
        <f t="shared" si="24"/>
        <v>2400</v>
      </c>
      <c r="W37" s="161">
        <f t="shared" si="27"/>
        <v>2400</v>
      </c>
    </row>
    <row r="38" spans="1:23" ht="12.75" outlineLevel="2">
      <c r="A38" s="140" t="s">
        <v>52</v>
      </c>
      <c r="B38" s="46">
        <f>'прибыли (убытки)'!B37</f>
        <v>0</v>
      </c>
      <c r="C38" s="46">
        <f>'прибыли (убытки)'!C37</f>
        <v>0</v>
      </c>
      <c r="D38" s="46">
        <f>'прибыли (убытки)'!D37</f>
        <v>0</v>
      </c>
      <c r="E38" s="46">
        <f>'прибыли (убытки)'!E37</f>
        <v>0</v>
      </c>
      <c r="F38" s="46">
        <f>'прибыли (убытки)'!F37</f>
        <v>0</v>
      </c>
      <c r="G38" s="46">
        <f>'прибыли (убытки)'!G37</f>
        <v>0</v>
      </c>
      <c r="H38" s="118">
        <f t="shared" si="23"/>
        <v>0</v>
      </c>
      <c r="I38" s="46">
        <f>'прибыли (убытки)'!I37</f>
        <v>0</v>
      </c>
      <c r="J38" s="46">
        <f>'прибыли (убытки)'!J37</f>
        <v>0</v>
      </c>
      <c r="K38" s="46">
        <f>'прибыли (убытки)'!K37</f>
        <v>0</v>
      </c>
      <c r="L38" s="46">
        <f>'прибыли (убытки)'!L37</f>
        <v>0</v>
      </c>
      <c r="M38" s="46">
        <f>'прибыли (убытки)'!M37</f>
        <v>0</v>
      </c>
      <c r="N38" s="46">
        <f>'прибыли (убытки)'!N37</f>
        <v>0</v>
      </c>
      <c r="O38" s="46">
        <f>'прибыли (убытки)'!O37</f>
        <v>500</v>
      </c>
      <c r="P38" s="46">
        <f>'прибыли (убытки)'!P37</f>
        <v>500</v>
      </c>
      <c r="Q38" s="46">
        <f>'прибыли (убытки)'!Q37</f>
        <v>500</v>
      </c>
      <c r="R38" s="46">
        <f>'прибыли (убытки)'!R37</f>
        <v>500</v>
      </c>
      <c r="S38" s="46">
        <f>'прибыли (убытки)'!S37</f>
        <v>500</v>
      </c>
      <c r="T38" s="46">
        <f>'прибыли (убытки)'!T37</f>
        <v>500</v>
      </c>
      <c r="U38" s="27">
        <f t="shared" si="26"/>
        <v>3000</v>
      </c>
      <c r="V38" s="27">
        <f t="shared" si="24"/>
        <v>3000</v>
      </c>
      <c r="W38" s="161">
        <f t="shared" si="27"/>
        <v>3000</v>
      </c>
    </row>
    <row r="39" spans="1:23" ht="12.75" outlineLevel="2">
      <c r="A39" s="140" t="s">
        <v>53</v>
      </c>
      <c r="B39" s="46">
        <f>'прибыли (убытки)'!B38</f>
        <v>0</v>
      </c>
      <c r="C39" s="46">
        <f>'прибыли (убытки)'!C38</f>
        <v>0</v>
      </c>
      <c r="D39" s="46">
        <f>'прибыли (убытки)'!D38</f>
        <v>400</v>
      </c>
      <c r="E39" s="46">
        <f>'прибыли (убытки)'!E38</f>
        <v>400</v>
      </c>
      <c r="F39" s="46">
        <f>'прибыли (убытки)'!F38</f>
        <v>400</v>
      </c>
      <c r="G39" s="46">
        <f>'прибыли (убытки)'!G38</f>
        <v>400</v>
      </c>
      <c r="H39" s="118">
        <f t="shared" si="23"/>
        <v>1600</v>
      </c>
      <c r="I39" s="46">
        <f>'прибыли (убытки)'!I38</f>
        <v>400</v>
      </c>
      <c r="J39" s="46">
        <f>'прибыли (убытки)'!J38</f>
        <v>400</v>
      </c>
      <c r="K39" s="46">
        <f>'прибыли (убытки)'!K38</f>
        <v>400</v>
      </c>
      <c r="L39" s="46">
        <f>'прибыли (убытки)'!L38</f>
        <v>400</v>
      </c>
      <c r="M39" s="46">
        <f>'прибыли (убытки)'!M38</f>
        <v>400</v>
      </c>
      <c r="N39" s="46">
        <f>'прибыли (убытки)'!N38</f>
        <v>400</v>
      </c>
      <c r="O39" s="46">
        <f>'прибыли (убытки)'!O38</f>
        <v>400</v>
      </c>
      <c r="P39" s="46">
        <f>'прибыли (убытки)'!P38</f>
        <v>400</v>
      </c>
      <c r="Q39" s="46">
        <f>'прибыли (убытки)'!Q38</f>
        <v>400</v>
      </c>
      <c r="R39" s="46">
        <f>'прибыли (убытки)'!R38</f>
        <v>400</v>
      </c>
      <c r="S39" s="46">
        <f>'прибыли (убытки)'!S38</f>
        <v>400</v>
      </c>
      <c r="T39" s="46">
        <f>'прибыли (убытки)'!T38</f>
        <v>400</v>
      </c>
      <c r="U39" s="27">
        <f t="shared" si="26"/>
        <v>4800</v>
      </c>
      <c r="V39" s="27">
        <f t="shared" si="24"/>
        <v>6400</v>
      </c>
      <c r="W39" s="161">
        <f t="shared" si="27"/>
        <v>6400</v>
      </c>
    </row>
    <row r="40" spans="1:23" ht="12.75" outlineLevel="2">
      <c r="A40" s="140" t="s">
        <v>54</v>
      </c>
      <c r="B40" s="46">
        <f>'прибыли (убытки)'!B39</f>
        <v>0</v>
      </c>
      <c r="C40" s="46">
        <f>'прибыли (убытки)'!C39</f>
        <v>400</v>
      </c>
      <c r="D40" s="46">
        <f>'прибыли (убытки)'!D39</f>
        <v>400</v>
      </c>
      <c r="E40" s="46">
        <f>'прибыли (убытки)'!E39</f>
        <v>450</v>
      </c>
      <c r="F40" s="46">
        <f>'прибыли (убытки)'!F39</f>
        <v>450</v>
      </c>
      <c r="G40" s="46">
        <f>'прибыли (убытки)'!G39</f>
        <v>450</v>
      </c>
      <c r="H40" s="118">
        <f t="shared" si="23"/>
        <v>2150</v>
      </c>
      <c r="I40" s="46">
        <f>'прибыли (убытки)'!I39</f>
        <v>450</v>
      </c>
      <c r="J40" s="46">
        <f>'прибыли (убытки)'!J39</f>
        <v>450</v>
      </c>
      <c r="K40" s="46">
        <f>'прибыли (убытки)'!K39</f>
        <v>450</v>
      </c>
      <c r="L40" s="46">
        <f>'прибыли (убытки)'!L39</f>
        <v>450</v>
      </c>
      <c r="M40" s="46">
        <f>'прибыли (убытки)'!M39</f>
        <v>450</v>
      </c>
      <c r="N40" s="46">
        <f>'прибыли (убытки)'!N39</f>
        <v>450</v>
      </c>
      <c r="O40" s="46">
        <f>'прибыли (убытки)'!O39</f>
        <v>450</v>
      </c>
      <c r="P40" s="46">
        <f>'прибыли (убытки)'!P39</f>
        <v>450</v>
      </c>
      <c r="Q40" s="46">
        <f>'прибыли (убытки)'!Q39</f>
        <v>450</v>
      </c>
      <c r="R40" s="46">
        <f>'прибыли (убытки)'!R39</f>
        <v>450</v>
      </c>
      <c r="S40" s="46">
        <f>'прибыли (убытки)'!S39</f>
        <v>450</v>
      </c>
      <c r="T40" s="46">
        <f>'прибыли (убытки)'!T39</f>
        <v>450</v>
      </c>
      <c r="U40" s="27">
        <f t="shared" si="26"/>
        <v>5400</v>
      </c>
      <c r="V40" s="27">
        <f t="shared" si="24"/>
        <v>7550</v>
      </c>
      <c r="W40" s="161">
        <f t="shared" si="27"/>
        <v>7550</v>
      </c>
    </row>
    <row r="41" spans="1:23" ht="12.75" outlineLevel="2">
      <c r="A41" s="140" t="s">
        <v>54</v>
      </c>
      <c r="B41" s="46">
        <f>'прибыли (убытки)'!B40</f>
        <v>0</v>
      </c>
      <c r="C41" s="46">
        <f>'прибыли (убытки)'!C40</f>
        <v>0</v>
      </c>
      <c r="D41" s="46">
        <f>'прибыли (убытки)'!D40</f>
        <v>0</v>
      </c>
      <c r="E41" s="46">
        <f>'прибыли (убытки)'!E40</f>
        <v>0</v>
      </c>
      <c r="F41" s="46">
        <f>'прибыли (убытки)'!F40</f>
        <v>0</v>
      </c>
      <c r="G41" s="46">
        <f>'прибыли (убытки)'!G40</f>
        <v>0</v>
      </c>
      <c r="H41" s="118">
        <f t="shared" si="23"/>
        <v>0</v>
      </c>
      <c r="I41" s="46">
        <f>'прибыли (убытки)'!I40</f>
        <v>400</v>
      </c>
      <c r="J41" s="46">
        <f>'прибыли (убытки)'!J40</f>
        <v>400</v>
      </c>
      <c r="K41" s="46">
        <f>'прибыли (убытки)'!K40</f>
        <v>400</v>
      </c>
      <c r="L41" s="46">
        <f>'прибыли (убытки)'!L40</f>
        <v>400</v>
      </c>
      <c r="M41" s="46">
        <f>'прибыли (убытки)'!M40</f>
        <v>400</v>
      </c>
      <c r="N41" s="46">
        <f>'прибыли (убытки)'!N40</f>
        <v>400</v>
      </c>
      <c r="O41" s="46">
        <f>'прибыли (убытки)'!O40</f>
        <v>400</v>
      </c>
      <c r="P41" s="46">
        <f>'прибыли (убытки)'!P40</f>
        <v>400</v>
      </c>
      <c r="Q41" s="46">
        <f>'прибыли (убытки)'!Q40</f>
        <v>400</v>
      </c>
      <c r="R41" s="46">
        <f>'прибыли (убытки)'!R40</f>
        <v>400</v>
      </c>
      <c r="S41" s="46">
        <f>'прибыли (убытки)'!S40</f>
        <v>400</v>
      </c>
      <c r="T41" s="46">
        <f>'прибыли (убытки)'!T40</f>
        <v>400</v>
      </c>
      <c r="U41" s="27">
        <f t="shared" si="26"/>
        <v>4800</v>
      </c>
      <c r="V41" s="27">
        <f t="shared" si="24"/>
        <v>4800</v>
      </c>
      <c r="W41" s="161">
        <f t="shared" si="27"/>
        <v>4800</v>
      </c>
    </row>
    <row r="42" spans="1:23" ht="12.75" outlineLevel="2">
      <c r="A42" s="140" t="s">
        <v>55</v>
      </c>
      <c r="B42" s="46">
        <f>'прибыли (убытки)'!B41</f>
        <v>0</v>
      </c>
      <c r="C42" s="46">
        <f>'прибыли (убытки)'!C41</f>
        <v>300</v>
      </c>
      <c r="D42" s="46">
        <f>'прибыли (убытки)'!D41</f>
        <v>300</v>
      </c>
      <c r="E42" s="46">
        <f>'прибыли (убытки)'!E41</f>
        <v>350</v>
      </c>
      <c r="F42" s="46">
        <f>'прибыли (убытки)'!F41</f>
        <v>350</v>
      </c>
      <c r="G42" s="46">
        <f>'прибыли (убытки)'!G41</f>
        <v>350</v>
      </c>
      <c r="H42" s="118">
        <f t="shared" si="23"/>
        <v>1650</v>
      </c>
      <c r="I42" s="46">
        <f>'прибыли (убытки)'!I41</f>
        <v>350</v>
      </c>
      <c r="J42" s="46">
        <f>'прибыли (убытки)'!J41</f>
        <v>350</v>
      </c>
      <c r="K42" s="46">
        <f>'прибыли (убытки)'!K41</f>
        <v>350</v>
      </c>
      <c r="L42" s="46">
        <f>'прибыли (убытки)'!L41</f>
        <v>350</v>
      </c>
      <c r="M42" s="46">
        <f>'прибыли (убытки)'!M41</f>
        <v>350</v>
      </c>
      <c r="N42" s="46">
        <f>'прибыли (убытки)'!N41</f>
        <v>350</v>
      </c>
      <c r="O42" s="46">
        <f>'прибыли (убытки)'!O41</f>
        <v>350</v>
      </c>
      <c r="P42" s="46">
        <f>'прибыли (убытки)'!P41</f>
        <v>350</v>
      </c>
      <c r="Q42" s="46">
        <f>'прибыли (убытки)'!Q41</f>
        <v>350</v>
      </c>
      <c r="R42" s="46">
        <f>'прибыли (убытки)'!R41</f>
        <v>350</v>
      </c>
      <c r="S42" s="46">
        <f>'прибыли (убытки)'!S41</f>
        <v>350</v>
      </c>
      <c r="T42" s="46">
        <f>'прибыли (убытки)'!T41</f>
        <v>350</v>
      </c>
      <c r="U42" s="27">
        <f t="shared" si="26"/>
        <v>4200</v>
      </c>
      <c r="V42" s="27">
        <f t="shared" si="24"/>
        <v>5850</v>
      </c>
      <c r="W42" s="161">
        <f t="shared" si="27"/>
        <v>5850</v>
      </c>
    </row>
    <row r="43" spans="1:23" ht="12.75" outlineLevel="2">
      <c r="A43" s="140" t="s">
        <v>56</v>
      </c>
      <c r="B43" s="46">
        <f>'прибыли (убытки)'!B42</f>
        <v>0</v>
      </c>
      <c r="C43" s="46">
        <f>'прибыли (убытки)'!C42</f>
        <v>0</v>
      </c>
      <c r="D43" s="46">
        <f>'прибыли (убытки)'!D42</f>
        <v>0</v>
      </c>
      <c r="E43" s="46">
        <f>'прибыли (убытки)'!E42</f>
        <v>0</v>
      </c>
      <c r="F43" s="46">
        <f>'прибыли (убытки)'!F42</f>
        <v>0</v>
      </c>
      <c r="G43" s="46">
        <f>'прибыли (убытки)'!G42</f>
        <v>0</v>
      </c>
      <c r="H43" s="118">
        <f t="shared" si="23"/>
        <v>0</v>
      </c>
      <c r="I43" s="46">
        <f>'прибыли (убытки)'!I42</f>
        <v>0</v>
      </c>
      <c r="J43" s="46">
        <f>'прибыли (убытки)'!J42</f>
        <v>0</v>
      </c>
      <c r="K43" s="46">
        <f>'прибыли (убытки)'!K42</f>
        <v>0</v>
      </c>
      <c r="L43" s="46">
        <f>'прибыли (убытки)'!L42</f>
        <v>0</v>
      </c>
      <c r="M43" s="46">
        <f>'прибыли (убытки)'!M42</f>
        <v>0</v>
      </c>
      <c r="N43" s="46">
        <f>'прибыли (убытки)'!N42</f>
        <v>0</v>
      </c>
      <c r="O43" s="46">
        <f>'прибыли (убытки)'!O42</f>
        <v>0</v>
      </c>
      <c r="P43" s="46">
        <f>'прибыли (убытки)'!P42</f>
        <v>0</v>
      </c>
      <c r="Q43" s="46">
        <f>'прибыли (убытки)'!Q42</f>
        <v>0</v>
      </c>
      <c r="R43" s="46">
        <f>'прибыли (убытки)'!R42</f>
        <v>0</v>
      </c>
      <c r="S43" s="46">
        <f>'прибыли (убытки)'!S42</f>
        <v>0</v>
      </c>
      <c r="T43" s="46">
        <f>'прибыли (убытки)'!T42</f>
        <v>0</v>
      </c>
      <c r="U43" s="27">
        <f t="shared" si="26"/>
        <v>0</v>
      </c>
      <c r="V43" s="27">
        <f t="shared" si="24"/>
        <v>0</v>
      </c>
      <c r="W43" s="161">
        <f t="shared" si="27"/>
        <v>0</v>
      </c>
    </row>
    <row r="44" spans="1:23" ht="12.75" outlineLevel="2">
      <c r="A44" s="140" t="s">
        <v>57</v>
      </c>
      <c r="B44" s="46">
        <f>'прибыли (убытки)'!B43</f>
        <v>0</v>
      </c>
      <c r="C44" s="46">
        <f>'прибыли (убытки)'!C43</f>
        <v>0</v>
      </c>
      <c r="D44" s="46">
        <f>'прибыли (убытки)'!D43</f>
        <v>0</v>
      </c>
      <c r="E44" s="46">
        <f>'прибыли (убытки)'!E43</f>
        <v>0</v>
      </c>
      <c r="F44" s="46">
        <f>'прибыли (убытки)'!F43</f>
        <v>0</v>
      </c>
      <c r="G44" s="46">
        <f>'прибыли (убытки)'!G43</f>
        <v>0</v>
      </c>
      <c r="H44" s="118">
        <f t="shared" si="23"/>
        <v>0</v>
      </c>
      <c r="I44" s="46">
        <f>'прибыли (убытки)'!I43</f>
        <v>0</v>
      </c>
      <c r="J44" s="46">
        <f>'прибыли (убытки)'!J43</f>
        <v>0</v>
      </c>
      <c r="K44" s="46">
        <f>'прибыли (убытки)'!K43</f>
        <v>0</v>
      </c>
      <c r="L44" s="46">
        <f>'прибыли (убытки)'!L43</f>
        <v>0</v>
      </c>
      <c r="M44" s="46">
        <f>'прибыли (убытки)'!M43</f>
        <v>0</v>
      </c>
      <c r="N44" s="46">
        <f>'прибыли (убытки)'!N43</f>
        <v>0</v>
      </c>
      <c r="O44" s="46">
        <f>'прибыли (убытки)'!O43</f>
        <v>0</v>
      </c>
      <c r="P44" s="46">
        <f>'прибыли (убытки)'!P43</f>
        <v>0</v>
      </c>
      <c r="Q44" s="46">
        <f>'прибыли (убытки)'!Q43</f>
        <v>0</v>
      </c>
      <c r="R44" s="46">
        <f>'прибыли (убытки)'!R43</f>
        <v>0</v>
      </c>
      <c r="S44" s="46">
        <f>'прибыли (убытки)'!S43</f>
        <v>0</v>
      </c>
      <c r="T44" s="46">
        <f>'прибыли (убытки)'!T43</f>
        <v>0</v>
      </c>
      <c r="U44" s="27">
        <f t="shared" si="26"/>
        <v>0</v>
      </c>
      <c r="V44" s="27">
        <f t="shared" si="24"/>
        <v>0</v>
      </c>
      <c r="W44" s="161">
        <f t="shared" si="27"/>
        <v>0</v>
      </c>
    </row>
    <row r="45" spans="1:23" ht="12.75" outlineLevel="1">
      <c r="A45" s="140" t="s">
        <v>58</v>
      </c>
      <c r="B45" s="47">
        <f>'прибыли (убытки)'!B44</f>
        <v>0</v>
      </c>
      <c r="C45" s="47">
        <f>'прибыли (убытки)'!C44</f>
        <v>0</v>
      </c>
      <c r="D45" s="47">
        <f>'прибыли (убытки)'!D44</f>
        <v>100</v>
      </c>
      <c r="E45" s="47">
        <f>'прибыли (убытки)'!E44</f>
        <v>270</v>
      </c>
      <c r="F45" s="47">
        <f>'прибыли (убытки)'!F44</f>
        <v>487.5</v>
      </c>
      <c r="G45" s="47">
        <f>'прибыли (убытки)'!G44</f>
        <v>555</v>
      </c>
      <c r="H45" s="118">
        <f t="shared" si="23"/>
        <v>1412.5</v>
      </c>
      <c r="I45" s="47">
        <f>'прибыли (убытки)'!I44</f>
        <v>755</v>
      </c>
      <c r="J45" s="47">
        <f>'прибыли (убытки)'!J44</f>
        <v>882.5</v>
      </c>
      <c r="K45" s="47">
        <f>'прибыли (убытки)'!K44</f>
        <v>912.75</v>
      </c>
      <c r="L45" s="47">
        <f>'прибыли (убытки)'!L44</f>
        <v>1046.025</v>
      </c>
      <c r="M45" s="47">
        <f>'прибыли (убытки)'!M44</f>
        <v>1082.6275</v>
      </c>
      <c r="N45" s="47">
        <f>'прибыли (убытки)'!N44</f>
        <v>1222.8902500000002</v>
      </c>
      <c r="O45" s="47">
        <f>'прибыли (убытки)'!O44</f>
        <v>1302.1792750000004</v>
      </c>
      <c r="P45" s="47">
        <f>'прибыли (убытки)'!P44</f>
        <v>1350.8972025000003</v>
      </c>
      <c r="Q45" s="47">
        <f>'прибыли (убытки)'!Q44</f>
        <v>1659.4869227500003</v>
      </c>
      <c r="R45" s="47">
        <f>'прибыли (убытки)'!R44</f>
        <v>1718.4356150250005</v>
      </c>
      <c r="S45" s="47">
        <f>'прибыли (убытки)'!S44</f>
        <v>1813.2791765275003</v>
      </c>
      <c r="T45" s="47">
        <f>'прибыли (убытки)'!T44</f>
        <v>1884.6070941802507</v>
      </c>
      <c r="U45" s="27">
        <f t="shared" si="26"/>
        <v>15630.678035982752</v>
      </c>
      <c r="V45" s="27">
        <f t="shared" si="24"/>
        <v>17043.178035982753</v>
      </c>
      <c r="W45" s="161">
        <f t="shared" si="27"/>
        <v>17043.178035982753</v>
      </c>
    </row>
    <row r="46" spans="1:23" ht="12.75" outlineLevel="1">
      <c r="A46" s="145" t="s">
        <v>59</v>
      </c>
      <c r="B46" s="43">
        <f aca="true" t="shared" si="28" ref="B46:G46">SUM(B47:B50)</f>
        <v>280</v>
      </c>
      <c r="C46" s="43">
        <f t="shared" si="28"/>
        <v>300</v>
      </c>
      <c r="D46" s="43">
        <f t="shared" si="28"/>
        <v>400</v>
      </c>
      <c r="E46" s="43">
        <f t="shared" si="28"/>
        <v>400</v>
      </c>
      <c r="F46" s="43">
        <f t="shared" si="28"/>
        <v>400</v>
      </c>
      <c r="G46" s="43">
        <f t="shared" si="28"/>
        <v>400</v>
      </c>
      <c r="H46" s="118">
        <f t="shared" si="23"/>
        <v>2180</v>
      </c>
      <c r="I46" s="44">
        <f aca="true" t="shared" si="29" ref="I46:T46">SUM(I47:I50)</f>
        <v>600</v>
      </c>
      <c r="J46" s="44">
        <f t="shared" si="29"/>
        <v>600</v>
      </c>
      <c r="K46" s="44">
        <f t="shared" si="29"/>
        <v>600</v>
      </c>
      <c r="L46" s="44">
        <f t="shared" si="29"/>
        <v>600</v>
      </c>
      <c r="M46" s="44">
        <f t="shared" si="29"/>
        <v>600</v>
      </c>
      <c r="N46" s="44">
        <f t="shared" si="29"/>
        <v>600</v>
      </c>
      <c r="O46" s="44">
        <f t="shared" si="29"/>
        <v>600</v>
      </c>
      <c r="P46" s="44">
        <f t="shared" si="29"/>
        <v>600</v>
      </c>
      <c r="Q46" s="44">
        <f t="shared" si="29"/>
        <v>600</v>
      </c>
      <c r="R46" s="44">
        <f t="shared" si="29"/>
        <v>600</v>
      </c>
      <c r="S46" s="44">
        <f t="shared" si="29"/>
        <v>600</v>
      </c>
      <c r="T46" s="44">
        <f t="shared" si="29"/>
        <v>600</v>
      </c>
      <c r="U46" s="27">
        <f t="shared" si="26"/>
        <v>7200</v>
      </c>
      <c r="V46" s="27">
        <f t="shared" si="24"/>
        <v>9380</v>
      </c>
      <c r="W46" s="161">
        <f t="shared" si="27"/>
        <v>9380</v>
      </c>
    </row>
    <row r="47" spans="1:23" ht="25.5" outlineLevel="2">
      <c r="A47" s="140" t="s">
        <v>60</v>
      </c>
      <c r="B47" s="29">
        <f>'прибыли (убытки)'!B46</f>
        <v>0</v>
      </c>
      <c r="C47" s="29">
        <f>'прибыли (убытки)'!C46</f>
        <v>250</v>
      </c>
      <c r="D47" s="29">
        <f>'прибыли (убытки)'!D46</f>
        <v>250</v>
      </c>
      <c r="E47" s="29">
        <f>'прибыли (убытки)'!E46</f>
        <v>250</v>
      </c>
      <c r="F47" s="29">
        <f>'прибыли (убытки)'!F46</f>
        <v>250</v>
      </c>
      <c r="G47" s="29">
        <f>'прибыли (убытки)'!G46</f>
        <v>250</v>
      </c>
      <c r="H47" s="118">
        <f t="shared" si="23"/>
        <v>1250</v>
      </c>
      <c r="I47" s="29">
        <f>'прибыли (убытки)'!I46</f>
        <v>250</v>
      </c>
      <c r="J47" s="29">
        <f>'прибыли (убытки)'!J46</f>
        <v>250</v>
      </c>
      <c r="K47" s="29">
        <f>'прибыли (убытки)'!K46</f>
        <v>250</v>
      </c>
      <c r="L47" s="29">
        <f>'прибыли (убытки)'!L46</f>
        <v>250</v>
      </c>
      <c r="M47" s="29">
        <f>'прибыли (убытки)'!M46</f>
        <v>250</v>
      </c>
      <c r="N47" s="29">
        <f>'прибыли (убытки)'!N46</f>
        <v>250</v>
      </c>
      <c r="O47" s="29">
        <f>'прибыли (убытки)'!O46</f>
        <v>250</v>
      </c>
      <c r="P47" s="29">
        <f>'прибыли (убытки)'!P46</f>
        <v>250</v>
      </c>
      <c r="Q47" s="29">
        <f>'прибыли (убытки)'!Q46</f>
        <v>250</v>
      </c>
      <c r="R47" s="29">
        <f>'прибыли (убытки)'!R46</f>
        <v>250</v>
      </c>
      <c r="S47" s="29">
        <f>'прибыли (убытки)'!S46</f>
        <v>250</v>
      </c>
      <c r="T47" s="29">
        <f>'прибыли (убытки)'!T46</f>
        <v>250</v>
      </c>
      <c r="U47" s="27">
        <f t="shared" si="26"/>
        <v>3000</v>
      </c>
      <c r="V47" s="27">
        <f t="shared" si="24"/>
        <v>4250</v>
      </c>
      <c r="W47" s="161">
        <f t="shared" si="27"/>
        <v>4250</v>
      </c>
    </row>
    <row r="48" spans="1:23" ht="12.75" outlineLevel="2">
      <c r="A48" s="140" t="s">
        <v>61</v>
      </c>
      <c r="B48" s="29">
        <f>'прибыли (убытки)'!B47</f>
        <v>0</v>
      </c>
      <c r="C48" s="29">
        <f>'прибыли (убытки)'!C47</f>
        <v>0</v>
      </c>
      <c r="D48" s="29">
        <f>'прибыли (убытки)'!D47</f>
        <v>100</v>
      </c>
      <c r="E48" s="29">
        <f>'прибыли (убытки)'!E47</f>
        <v>100</v>
      </c>
      <c r="F48" s="29">
        <f>'прибыли (убытки)'!F47</f>
        <v>100</v>
      </c>
      <c r="G48" s="29">
        <f>'прибыли (убытки)'!G47</f>
        <v>100</v>
      </c>
      <c r="H48" s="118">
        <f t="shared" si="23"/>
        <v>400</v>
      </c>
      <c r="I48" s="29">
        <f>'прибыли (убытки)'!I47</f>
        <v>100</v>
      </c>
      <c r="J48" s="29">
        <f>'прибыли (убытки)'!J47</f>
        <v>100</v>
      </c>
      <c r="K48" s="29">
        <f>'прибыли (убытки)'!K47</f>
        <v>100</v>
      </c>
      <c r="L48" s="29">
        <f>'прибыли (убытки)'!L47</f>
        <v>100</v>
      </c>
      <c r="M48" s="29">
        <f>'прибыли (убытки)'!M47</f>
        <v>100</v>
      </c>
      <c r="N48" s="29">
        <f>'прибыли (убытки)'!N47</f>
        <v>100</v>
      </c>
      <c r="O48" s="29">
        <f>'прибыли (убытки)'!O47</f>
        <v>100</v>
      </c>
      <c r="P48" s="29">
        <f>'прибыли (убытки)'!P47</f>
        <v>100</v>
      </c>
      <c r="Q48" s="29">
        <f>'прибыли (убытки)'!Q47</f>
        <v>100</v>
      </c>
      <c r="R48" s="29">
        <f>'прибыли (убытки)'!R47</f>
        <v>100</v>
      </c>
      <c r="S48" s="29">
        <f>'прибыли (убытки)'!S47</f>
        <v>100</v>
      </c>
      <c r="T48" s="29">
        <f>'прибыли (убытки)'!T47</f>
        <v>100</v>
      </c>
      <c r="U48" s="27">
        <f t="shared" si="26"/>
        <v>1200</v>
      </c>
      <c r="V48" s="27">
        <f t="shared" si="24"/>
        <v>1600</v>
      </c>
      <c r="W48" s="161">
        <f t="shared" si="27"/>
        <v>1600</v>
      </c>
    </row>
    <row r="49" spans="1:23" ht="25.5" outlineLevel="2">
      <c r="A49" s="140" t="s">
        <v>62</v>
      </c>
      <c r="B49" s="29">
        <f>'прибыли (убытки)'!B48</f>
        <v>0</v>
      </c>
      <c r="C49" s="29">
        <f>'прибыли (убытки)'!C48</f>
        <v>0</v>
      </c>
      <c r="D49" s="29">
        <f>'прибыли (убытки)'!D48</f>
        <v>0</v>
      </c>
      <c r="E49" s="29">
        <f>'прибыли (убытки)'!E48</f>
        <v>0</v>
      </c>
      <c r="F49" s="29">
        <f>'прибыли (убытки)'!F48</f>
        <v>0</v>
      </c>
      <c r="G49" s="29">
        <f>'прибыли (убытки)'!G48</f>
        <v>0</v>
      </c>
      <c r="H49" s="118">
        <f t="shared" si="23"/>
        <v>0</v>
      </c>
      <c r="I49" s="29">
        <f>'прибыли (убытки)'!I48</f>
        <v>200</v>
      </c>
      <c r="J49" s="29">
        <f>'прибыли (убытки)'!J48</f>
        <v>200</v>
      </c>
      <c r="K49" s="29">
        <f>'прибыли (убытки)'!K48</f>
        <v>200</v>
      </c>
      <c r="L49" s="29">
        <f>'прибыли (убытки)'!L48</f>
        <v>200</v>
      </c>
      <c r="M49" s="29">
        <f>'прибыли (убытки)'!M48</f>
        <v>200</v>
      </c>
      <c r="N49" s="29">
        <f>'прибыли (убытки)'!N48</f>
        <v>200</v>
      </c>
      <c r="O49" s="29">
        <f>'прибыли (убытки)'!O48</f>
        <v>200</v>
      </c>
      <c r="P49" s="29">
        <f>'прибыли (убытки)'!P48</f>
        <v>200</v>
      </c>
      <c r="Q49" s="29">
        <f>'прибыли (убытки)'!Q48</f>
        <v>200</v>
      </c>
      <c r="R49" s="29">
        <f>'прибыли (убытки)'!R48</f>
        <v>200</v>
      </c>
      <c r="S49" s="29">
        <f>'прибыли (убытки)'!S48</f>
        <v>200</v>
      </c>
      <c r="T49" s="29">
        <f>'прибыли (убытки)'!T48</f>
        <v>200</v>
      </c>
      <c r="U49" s="27">
        <f t="shared" si="26"/>
        <v>2400</v>
      </c>
      <c r="V49" s="27">
        <f t="shared" si="24"/>
        <v>2400</v>
      </c>
      <c r="W49" s="161">
        <f t="shared" si="27"/>
        <v>2400</v>
      </c>
    </row>
    <row r="50" spans="1:23" ht="38.25" outlineLevel="2">
      <c r="A50" s="140" t="s">
        <v>63</v>
      </c>
      <c r="B50" s="29">
        <f>'прибыли (убытки)'!B49</f>
        <v>280</v>
      </c>
      <c r="C50" s="29">
        <f>'прибыли (убытки)'!C49</f>
        <v>50</v>
      </c>
      <c r="D50" s="29">
        <f>'прибыли (убытки)'!D49</f>
        <v>50</v>
      </c>
      <c r="E50" s="29">
        <f>'прибыли (убытки)'!E49</f>
        <v>50</v>
      </c>
      <c r="F50" s="29">
        <f>'прибыли (убытки)'!F49</f>
        <v>50</v>
      </c>
      <c r="G50" s="29">
        <f>'прибыли (убытки)'!G49</f>
        <v>50</v>
      </c>
      <c r="H50" s="118">
        <f aca="true" t="shared" si="30" ref="H50:H58">SUM(B50:G50)</f>
        <v>530</v>
      </c>
      <c r="I50" s="29">
        <f>'прибыли (убытки)'!I49</f>
        <v>50</v>
      </c>
      <c r="J50" s="29">
        <f>'прибыли (убытки)'!J49</f>
        <v>50</v>
      </c>
      <c r="K50" s="29">
        <f>'прибыли (убытки)'!K49</f>
        <v>50</v>
      </c>
      <c r="L50" s="29">
        <f>'прибыли (убытки)'!L49</f>
        <v>50</v>
      </c>
      <c r="M50" s="29">
        <f>'прибыли (убытки)'!M49</f>
        <v>50</v>
      </c>
      <c r="N50" s="29">
        <f>'прибыли (убытки)'!N49</f>
        <v>50</v>
      </c>
      <c r="O50" s="29">
        <f>'прибыли (убытки)'!O49</f>
        <v>50</v>
      </c>
      <c r="P50" s="29">
        <f>'прибыли (убытки)'!P49</f>
        <v>50</v>
      </c>
      <c r="Q50" s="29">
        <f>'прибыли (убытки)'!Q49</f>
        <v>50</v>
      </c>
      <c r="R50" s="29">
        <f>'прибыли (убытки)'!R49</f>
        <v>50</v>
      </c>
      <c r="S50" s="29">
        <f>'прибыли (убытки)'!S49</f>
        <v>50</v>
      </c>
      <c r="T50" s="29">
        <f>'прибыли (убытки)'!T49</f>
        <v>50</v>
      </c>
      <c r="U50" s="27">
        <f t="shared" si="26"/>
        <v>600</v>
      </c>
      <c r="V50" s="27">
        <f aca="true" t="shared" si="31" ref="V50:V58">SUM(H50,U50)</f>
        <v>1130</v>
      </c>
      <c r="W50" s="161">
        <f t="shared" si="27"/>
        <v>1130</v>
      </c>
    </row>
    <row r="51" spans="1:23" ht="25.5" outlineLevel="1">
      <c r="A51" s="145" t="s">
        <v>64</v>
      </c>
      <c r="B51" s="47">
        <f>'прибыли (убытки)'!B50</f>
        <v>833.3333333333333</v>
      </c>
      <c r="C51" s="47">
        <f>'прибыли (убытки)'!C50</f>
        <v>833.3333333333333</v>
      </c>
      <c r="D51" s="47">
        <f>'прибыли (убытки)'!D50</f>
        <v>833.3333333333333</v>
      </c>
      <c r="E51" s="47">
        <f>'прибыли (убытки)'!E50</f>
        <v>833.3333333333333</v>
      </c>
      <c r="F51" s="47">
        <f>'прибыли (убытки)'!F50</f>
        <v>833.3333333333333</v>
      </c>
      <c r="G51" s="47">
        <f>'прибыли (убытки)'!G50</f>
        <v>833.3333333333333</v>
      </c>
      <c r="H51" s="150">
        <f t="shared" si="30"/>
        <v>4999.999999999999</v>
      </c>
      <c r="I51" s="47">
        <f>'прибыли (убытки)'!I50</f>
        <v>833.3333333333333</v>
      </c>
      <c r="J51" s="47">
        <f>'прибыли (убытки)'!J50</f>
        <v>833.3333333333333</v>
      </c>
      <c r="K51" s="47">
        <f>'прибыли (убытки)'!K50</f>
        <v>833.3333333333333</v>
      </c>
      <c r="L51" s="47">
        <f>'прибыли (убытки)'!L50</f>
        <v>833.3333333333333</v>
      </c>
      <c r="M51" s="47">
        <f>'прибыли (убытки)'!M50</f>
        <v>833.3333333333333</v>
      </c>
      <c r="N51" s="47">
        <f>'прибыли (убытки)'!N50</f>
        <v>833.3333333333333</v>
      </c>
      <c r="O51" s="47">
        <f>'прибыли (убытки)'!O50</f>
        <v>833.3333333333333</v>
      </c>
      <c r="P51" s="47">
        <f>'прибыли (убытки)'!P50</f>
        <v>833.3333333333333</v>
      </c>
      <c r="Q51" s="47">
        <f>'прибыли (убытки)'!Q50</f>
        <v>833.3333333333333</v>
      </c>
      <c r="R51" s="47">
        <f>'прибыли (убытки)'!R50</f>
        <v>833.3333333333333</v>
      </c>
      <c r="S51" s="47">
        <f>'прибыли (убытки)'!S50</f>
        <v>833.3333333333333</v>
      </c>
      <c r="T51" s="47">
        <f>'прибыли (убытки)'!T50</f>
        <v>833.3333333333333</v>
      </c>
      <c r="U51" s="38">
        <f aca="true" t="shared" si="32" ref="U51:U58">SUM(I51:T51)</f>
        <v>10000</v>
      </c>
      <c r="V51" s="38">
        <f t="shared" si="31"/>
        <v>15000</v>
      </c>
      <c r="W51" s="161">
        <f t="shared" si="27"/>
        <v>15000</v>
      </c>
    </row>
    <row r="52" spans="1:23" ht="12.75" outlineLevel="1">
      <c r="A52" s="145" t="s">
        <v>65</v>
      </c>
      <c r="B52" s="29">
        <f>'прибыли (убытки)'!B51</f>
        <v>50</v>
      </c>
      <c r="C52" s="29">
        <f>'прибыли (убытки)'!C51</f>
        <v>50</v>
      </c>
      <c r="D52" s="29">
        <f>'прибыли (убытки)'!D51</f>
        <v>50</v>
      </c>
      <c r="E52" s="29">
        <f>'прибыли (убытки)'!E51</f>
        <v>50</v>
      </c>
      <c r="F52" s="29">
        <f>'прибыли (убытки)'!F51</f>
        <v>50</v>
      </c>
      <c r="G52" s="29">
        <f>'прибыли (убытки)'!G51</f>
        <v>50</v>
      </c>
      <c r="H52" s="118">
        <f t="shared" si="30"/>
        <v>300</v>
      </c>
      <c r="I52" s="29">
        <f>'прибыли (убытки)'!I51</f>
        <v>50</v>
      </c>
      <c r="J52" s="29">
        <f>'прибыли (убытки)'!J51</f>
        <v>50</v>
      </c>
      <c r="K52" s="29">
        <f>'прибыли (убытки)'!K51</f>
        <v>50</v>
      </c>
      <c r="L52" s="29">
        <f>'прибыли (убытки)'!L51</f>
        <v>50</v>
      </c>
      <c r="M52" s="29">
        <f>'прибыли (убытки)'!M51</f>
        <v>50</v>
      </c>
      <c r="N52" s="29">
        <f>'прибыли (убытки)'!N51</f>
        <v>50</v>
      </c>
      <c r="O52" s="29">
        <f>'прибыли (убытки)'!O51</f>
        <v>50</v>
      </c>
      <c r="P52" s="29">
        <f>'прибыли (убытки)'!P51</f>
        <v>50</v>
      </c>
      <c r="Q52" s="29">
        <f>'прибыли (убытки)'!Q51</f>
        <v>50</v>
      </c>
      <c r="R52" s="29">
        <f>'прибыли (убытки)'!R51</f>
        <v>50</v>
      </c>
      <c r="S52" s="29">
        <f>'прибыли (убытки)'!S51</f>
        <v>50</v>
      </c>
      <c r="T52" s="29">
        <f>'прибыли (убытки)'!T51</f>
        <v>50</v>
      </c>
      <c r="U52" s="27">
        <f t="shared" si="32"/>
        <v>600</v>
      </c>
      <c r="V52" s="27">
        <f t="shared" si="31"/>
        <v>900</v>
      </c>
      <c r="W52" s="161">
        <f t="shared" si="27"/>
        <v>900</v>
      </c>
    </row>
    <row r="53" spans="1:23" ht="12.75" outlineLevel="1">
      <c r="A53" s="145" t="s">
        <v>66</v>
      </c>
      <c r="B53" s="29">
        <f>'прибыли (убытки)'!B52</f>
        <v>0</v>
      </c>
      <c r="C53" s="29">
        <f>'прибыли (убытки)'!C52</f>
        <v>0</v>
      </c>
      <c r="D53" s="29">
        <f>'прибыли (убытки)'!D52</f>
        <v>0</v>
      </c>
      <c r="E53" s="29">
        <f>'прибыли (убытки)'!E52</f>
        <v>100</v>
      </c>
      <c r="F53" s="29">
        <f>'прибыли (убытки)'!F52</f>
        <v>200</v>
      </c>
      <c r="G53" s="29">
        <f>'прибыли (убытки)'!G52</f>
        <v>200</v>
      </c>
      <c r="H53" s="118">
        <f t="shared" si="30"/>
        <v>500</v>
      </c>
      <c r="I53" s="29">
        <f>'прибыли (убытки)'!I52</f>
        <v>300</v>
      </c>
      <c r="J53" s="29">
        <f>'прибыли (убытки)'!J52</f>
        <v>300</v>
      </c>
      <c r="K53" s="29">
        <f>'прибыли (убытки)'!K52</f>
        <v>300</v>
      </c>
      <c r="L53" s="29">
        <f>'прибыли (убытки)'!L52</f>
        <v>300</v>
      </c>
      <c r="M53" s="29">
        <f>'прибыли (убытки)'!M52</f>
        <v>300</v>
      </c>
      <c r="N53" s="29">
        <f>'прибыли (убытки)'!N52</f>
        <v>300</v>
      </c>
      <c r="O53" s="29">
        <f>'прибыли (убытки)'!O52</f>
        <v>300</v>
      </c>
      <c r="P53" s="29">
        <f>'прибыли (убытки)'!P52</f>
        <v>300</v>
      </c>
      <c r="Q53" s="29">
        <f>'прибыли (убытки)'!Q52</f>
        <v>300</v>
      </c>
      <c r="R53" s="29">
        <f>'прибыли (убытки)'!R52</f>
        <v>300</v>
      </c>
      <c r="S53" s="29">
        <f>'прибыли (убытки)'!S52</f>
        <v>300</v>
      </c>
      <c r="T53" s="29">
        <f>'прибыли (убытки)'!T52</f>
        <v>300</v>
      </c>
      <c r="U53" s="27">
        <f t="shared" si="32"/>
        <v>3600</v>
      </c>
      <c r="V53" s="27">
        <f t="shared" si="31"/>
        <v>4100</v>
      </c>
      <c r="W53" s="161">
        <f t="shared" si="27"/>
        <v>4100</v>
      </c>
    </row>
    <row r="54" spans="1:23" ht="38.25" outlineLevel="1">
      <c r="A54" s="145" t="s">
        <v>67</v>
      </c>
      <c r="B54" s="29">
        <f>'прибыли (убытки)'!B53</f>
        <v>0</v>
      </c>
      <c r="C54" s="29">
        <f>'прибыли (убытки)'!C53</f>
        <v>0</v>
      </c>
      <c r="D54" s="29">
        <f>'прибыли (убытки)'!D53</f>
        <v>0</v>
      </c>
      <c r="E54" s="29">
        <f>'прибыли (убытки)'!E53</f>
        <v>0</v>
      </c>
      <c r="F54" s="29">
        <f>'прибыли (убытки)'!F53</f>
        <v>0</v>
      </c>
      <c r="G54" s="29">
        <f>'прибыли (убытки)'!G53</f>
        <v>0</v>
      </c>
      <c r="H54" s="118">
        <f t="shared" si="30"/>
        <v>0</v>
      </c>
      <c r="I54" s="29">
        <f>'прибыли (убытки)'!I53</f>
        <v>1000</v>
      </c>
      <c r="J54" s="29">
        <f>'прибыли (убытки)'!J53</f>
        <v>1000</v>
      </c>
      <c r="K54" s="29">
        <f>'прибыли (убытки)'!K53</f>
        <v>1000</v>
      </c>
      <c r="L54" s="29">
        <f>'прибыли (убытки)'!L53</f>
        <v>1000</v>
      </c>
      <c r="M54" s="29">
        <f>'прибыли (убытки)'!M53</f>
        <v>1000</v>
      </c>
      <c r="N54" s="29">
        <f>'прибыли (убытки)'!N53</f>
        <v>1000</v>
      </c>
      <c r="O54" s="29">
        <f>'прибыли (убытки)'!O53</f>
        <v>1000</v>
      </c>
      <c r="P54" s="29">
        <f>'прибыли (убытки)'!P53</f>
        <v>1000</v>
      </c>
      <c r="Q54" s="29">
        <f>'прибыли (убытки)'!Q53</f>
        <v>1000</v>
      </c>
      <c r="R54" s="29">
        <f>'прибыли (убытки)'!R53</f>
        <v>1000</v>
      </c>
      <c r="S54" s="29">
        <f>'прибыли (убытки)'!S53</f>
        <v>1000</v>
      </c>
      <c r="T54" s="29">
        <f>'прибыли (убытки)'!T53</f>
        <v>1000</v>
      </c>
      <c r="U54" s="38">
        <f t="shared" si="32"/>
        <v>12000</v>
      </c>
      <c r="V54" s="38">
        <f t="shared" si="31"/>
        <v>12000</v>
      </c>
      <c r="W54" s="161">
        <f t="shared" si="27"/>
        <v>12000</v>
      </c>
    </row>
    <row r="55" spans="1:23" ht="12.75" outlineLevel="1">
      <c r="A55" s="145" t="s">
        <v>68</v>
      </c>
      <c r="B55" s="29">
        <f>'прибыли (убытки)'!B54</f>
        <v>100</v>
      </c>
      <c r="C55" s="29">
        <f>'прибыли (убытки)'!C54</f>
        <v>100</v>
      </c>
      <c r="D55" s="29">
        <f>'прибыли (убытки)'!D54</f>
        <v>100</v>
      </c>
      <c r="E55" s="29">
        <f>'прибыли (убытки)'!E54</f>
        <v>100</v>
      </c>
      <c r="F55" s="29">
        <f>'прибыли (убытки)'!F54</f>
        <v>100</v>
      </c>
      <c r="G55" s="29">
        <f>'прибыли (убытки)'!G54</f>
        <v>100</v>
      </c>
      <c r="H55" s="118">
        <f t="shared" si="30"/>
        <v>600</v>
      </c>
      <c r="I55" s="29">
        <f>'прибыли (убытки)'!I54</f>
        <v>200</v>
      </c>
      <c r="J55" s="29">
        <f>'прибыли (убытки)'!J54</f>
        <v>200</v>
      </c>
      <c r="K55" s="29">
        <f>'прибыли (убытки)'!K54</f>
        <v>200</v>
      </c>
      <c r="L55" s="29">
        <f>'прибыли (убытки)'!L54</f>
        <v>200</v>
      </c>
      <c r="M55" s="29">
        <f>'прибыли (убытки)'!M54</f>
        <v>200</v>
      </c>
      <c r="N55" s="29">
        <f>'прибыли (убытки)'!N54</f>
        <v>200</v>
      </c>
      <c r="O55" s="29">
        <f>'прибыли (убытки)'!O54</f>
        <v>200</v>
      </c>
      <c r="P55" s="29">
        <f>'прибыли (убытки)'!P54</f>
        <v>200</v>
      </c>
      <c r="Q55" s="29">
        <f>'прибыли (убытки)'!Q54</f>
        <v>200</v>
      </c>
      <c r="R55" s="29">
        <f>'прибыли (убытки)'!R54</f>
        <v>200</v>
      </c>
      <c r="S55" s="29">
        <f>'прибыли (убытки)'!S54</f>
        <v>200</v>
      </c>
      <c r="T55" s="29">
        <f>'прибыли (убытки)'!T54</f>
        <v>200</v>
      </c>
      <c r="U55" s="27">
        <f t="shared" si="32"/>
        <v>2400</v>
      </c>
      <c r="V55" s="27">
        <f t="shared" si="31"/>
        <v>3000</v>
      </c>
      <c r="W55" s="161">
        <f t="shared" si="27"/>
        <v>3000</v>
      </c>
    </row>
    <row r="56" spans="1:23" ht="25.5">
      <c r="A56" s="154" t="s">
        <v>101</v>
      </c>
      <c r="B56" s="49">
        <f>B57+B58+B59</f>
        <v>12000</v>
      </c>
      <c r="C56" s="49">
        <f aca="true" t="shared" si="33" ref="C56:R56">C57+C58+C59</f>
        <v>0</v>
      </c>
      <c r="D56" s="49">
        <f t="shared" si="33"/>
        <v>0</v>
      </c>
      <c r="E56" s="49">
        <f t="shared" si="33"/>
        <v>0</v>
      </c>
      <c r="F56" s="49">
        <f t="shared" si="33"/>
        <v>0</v>
      </c>
      <c r="G56" s="49">
        <f t="shared" si="33"/>
        <v>0</v>
      </c>
      <c r="H56" s="118">
        <f t="shared" si="30"/>
        <v>12000</v>
      </c>
      <c r="I56" s="50">
        <f t="shared" si="33"/>
        <v>0</v>
      </c>
      <c r="J56" s="50">
        <f t="shared" si="33"/>
        <v>0</v>
      </c>
      <c r="K56" s="50">
        <f t="shared" si="33"/>
        <v>0</v>
      </c>
      <c r="L56" s="50">
        <f t="shared" si="33"/>
        <v>0</v>
      </c>
      <c r="M56" s="50">
        <f t="shared" si="33"/>
        <v>0</v>
      </c>
      <c r="N56" s="50">
        <f t="shared" si="33"/>
        <v>0</v>
      </c>
      <c r="O56" s="50">
        <f t="shared" si="33"/>
        <v>0</v>
      </c>
      <c r="P56" s="50">
        <f t="shared" si="33"/>
        <v>0</v>
      </c>
      <c r="Q56" s="50">
        <f t="shared" si="33"/>
        <v>0</v>
      </c>
      <c r="R56" s="50">
        <f t="shared" si="33"/>
        <v>0</v>
      </c>
      <c r="S56" s="50">
        <f>S57+S58+S59</f>
        <v>0</v>
      </c>
      <c r="T56" s="50">
        <f>T57+T58+T59</f>
        <v>0</v>
      </c>
      <c r="U56" s="19">
        <f t="shared" si="32"/>
        <v>0</v>
      </c>
      <c r="V56" s="19">
        <f t="shared" si="31"/>
        <v>12000</v>
      </c>
      <c r="W56" s="162">
        <f t="shared" si="27"/>
        <v>12000</v>
      </c>
    </row>
    <row r="57" spans="1:23" ht="12.75" outlineLevel="1">
      <c r="A57" s="140" t="s">
        <v>71</v>
      </c>
      <c r="B57" s="136">
        <v>8000</v>
      </c>
      <c r="C57" s="51">
        <v>0</v>
      </c>
      <c r="D57" s="51">
        <v>0</v>
      </c>
      <c r="E57" s="51">
        <v>0</v>
      </c>
      <c r="F57" s="51"/>
      <c r="G57" s="51">
        <v>0</v>
      </c>
      <c r="H57" s="118">
        <f t="shared" si="30"/>
        <v>8000</v>
      </c>
      <c r="I57" s="48">
        <v>0</v>
      </c>
      <c r="J57" s="48">
        <v>0</v>
      </c>
      <c r="K57" s="48">
        <v>0</v>
      </c>
      <c r="L57" s="30"/>
      <c r="M57" s="30"/>
      <c r="N57" s="30"/>
      <c r="O57" s="30"/>
      <c r="P57" s="30"/>
      <c r="Q57" s="30"/>
      <c r="R57" s="30"/>
      <c r="S57" s="30"/>
      <c r="T57" s="30"/>
      <c r="U57" s="27">
        <f t="shared" si="32"/>
        <v>0</v>
      </c>
      <c r="V57" s="27">
        <f t="shared" si="31"/>
        <v>8000</v>
      </c>
      <c r="W57" s="162">
        <f t="shared" si="27"/>
        <v>8000</v>
      </c>
    </row>
    <row r="58" spans="1:23" ht="12.75" outlineLevel="1">
      <c r="A58" s="140" t="s">
        <v>72</v>
      </c>
      <c r="B58" s="136">
        <v>4000</v>
      </c>
      <c r="C58" s="51">
        <v>0</v>
      </c>
      <c r="D58" s="51">
        <v>0</v>
      </c>
      <c r="E58" s="51">
        <v>0</v>
      </c>
      <c r="F58" s="51"/>
      <c r="G58" s="51">
        <v>0</v>
      </c>
      <c r="H58" s="118">
        <f t="shared" si="30"/>
        <v>4000</v>
      </c>
      <c r="I58" s="48">
        <v>0</v>
      </c>
      <c r="J58" s="48">
        <v>0</v>
      </c>
      <c r="K58" s="48">
        <v>0</v>
      </c>
      <c r="L58" s="30"/>
      <c r="M58" s="30"/>
      <c r="N58" s="30"/>
      <c r="O58" s="30"/>
      <c r="P58" s="30"/>
      <c r="Q58" s="30"/>
      <c r="R58" s="30"/>
      <c r="S58" s="30"/>
      <c r="T58" s="30"/>
      <c r="U58" s="27">
        <f t="shared" si="32"/>
        <v>0</v>
      </c>
      <c r="V58" s="27">
        <f t="shared" si="31"/>
        <v>4000</v>
      </c>
      <c r="W58" s="162">
        <f t="shared" si="27"/>
        <v>4000</v>
      </c>
    </row>
    <row r="59" spans="1:23" ht="12.75" outlineLevel="1">
      <c r="A59" s="140" t="s">
        <v>102</v>
      </c>
      <c r="B59" s="51"/>
      <c r="C59" s="51"/>
      <c r="D59" s="51"/>
      <c r="E59" s="51"/>
      <c r="F59" s="51"/>
      <c r="G59" s="51">
        <v>0</v>
      </c>
      <c r="H59" s="118"/>
      <c r="I59" s="48">
        <v>0</v>
      </c>
      <c r="J59" s="48">
        <v>0</v>
      </c>
      <c r="K59" s="48">
        <v>0</v>
      </c>
      <c r="L59" s="30"/>
      <c r="M59" s="30"/>
      <c r="N59" s="30"/>
      <c r="O59" s="30"/>
      <c r="P59" s="30"/>
      <c r="Q59" s="30"/>
      <c r="R59" s="30"/>
      <c r="S59" s="30"/>
      <c r="T59" s="30"/>
      <c r="U59" s="27"/>
      <c r="V59" s="27"/>
      <c r="W59" s="161">
        <f t="shared" si="27"/>
        <v>0</v>
      </c>
    </row>
    <row r="60" spans="1:23" ht="12.75">
      <c r="A60" s="138" t="s">
        <v>103</v>
      </c>
      <c r="B60" s="52">
        <f>SUM(B62:B72)</f>
        <v>200</v>
      </c>
      <c r="C60" s="52">
        <f>SUM(C62:C72)</f>
        <v>480.00000000000006</v>
      </c>
      <c r="D60" s="52">
        <f>SUM(D62:D72)</f>
        <v>686.4000000000001</v>
      </c>
      <c r="E60" s="52">
        <f aca="true" t="shared" si="34" ref="E60:T60">SUM(E62:E72)</f>
        <v>845.28</v>
      </c>
      <c r="F60" s="52">
        <f t="shared" si="34"/>
        <v>946.2000000000002</v>
      </c>
      <c r="G60" s="52">
        <f t="shared" si="34"/>
        <v>977.52</v>
      </c>
      <c r="H60" s="118">
        <f aca="true" t="shared" si="35" ref="H60:H74">SUM(B60:G60)</f>
        <v>4135.400000000001</v>
      </c>
      <c r="I60" s="33">
        <f t="shared" si="34"/>
        <v>1236.7199999999998</v>
      </c>
      <c r="J60" s="33">
        <f t="shared" si="34"/>
        <v>1845.0309583333335</v>
      </c>
      <c r="K60" s="33">
        <f t="shared" si="34"/>
        <v>1922.2584208333337</v>
      </c>
      <c r="L60" s="33">
        <f t="shared" si="34"/>
        <v>2284.6436295833337</v>
      </c>
      <c r="M60" s="33">
        <f t="shared" si="34"/>
        <v>2379.4538592083336</v>
      </c>
      <c r="N60" s="33">
        <f t="shared" si="34"/>
        <v>2761.180111795834</v>
      </c>
      <c r="O60" s="33">
        <f t="shared" si="34"/>
        <v>2907.7652396420845</v>
      </c>
      <c r="P60" s="33">
        <f t="shared" si="34"/>
        <v>3036.1091552729595</v>
      </c>
      <c r="Q60" s="33">
        <f t="shared" si="34"/>
        <v>3883.7392124669223</v>
      </c>
      <c r="R60" s="33">
        <f t="shared" si="34"/>
        <v>4040.4003503802815</v>
      </c>
      <c r="S60" s="33">
        <f t="shared" si="34"/>
        <v>4296.413102084975</v>
      </c>
      <c r="T60" s="33">
        <f t="shared" si="34"/>
        <v>4487.3380789601415</v>
      </c>
      <c r="U60" s="27">
        <f aca="true" t="shared" si="36" ref="U60:U72">SUM(I60:T60)</f>
        <v>35081.052118561536</v>
      </c>
      <c r="V60" s="27">
        <f aca="true" t="shared" si="37" ref="V60:V73">SUM(H60,U60)</f>
        <v>39216.45211856154</v>
      </c>
      <c r="W60" s="162">
        <f>SUM(W62:W72)</f>
        <v>9804.113029640383</v>
      </c>
    </row>
    <row r="61" spans="1:23" ht="12.75" outlineLevel="1">
      <c r="A61" s="157"/>
      <c r="B61" s="53"/>
      <c r="C61" s="53"/>
      <c r="D61" s="53"/>
      <c r="E61" s="53"/>
      <c r="F61" s="53"/>
      <c r="G61" s="53"/>
      <c r="H61" s="118">
        <f t="shared" si="35"/>
        <v>0</v>
      </c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27">
        <f t="shared" si="36"/>
        <v>0</v>
      </c>
      <c r="V61" s="27">
        <f t="shared" si="37"/>
        <v>0</v>
      </c>
      <c r="W61" s="162">
        <f>V61</f>
        <v>0</v>
      </c>
    </row>
    <row r="62" spans="1:23" ht="12.75" outlineLevel="1">
      <c r="A62" s="140" t="s">
        <v>75</v>
      </c>
      <c r="B62" s="55">
        <f>B35*0.28</f>
        <v>140</v>
      </c>
      <c r="C62" s="55">
        <f aca="true" t="shared" si="38" ref="C62:R62">C35*0.28</f>
        <v>336.00000000000006</v>
      </c>
      <c r="D62" s="55">
        <f t="shared" si="38"/>
        <v>476.00000000000006</v>
      </c>
      <c r="E62" s="51">
        <f t="shared" si="38"/>
        <v>579.6</v>
      </c>
      <c r="F62" s="51">
        <f t="shared" si="38"/>
        <v>640.5000000000001</v>
      </c>
      <c r="G62" s="51">
        <f t="shared" si="38"/>
        <v>659.4000000000001</v>
      </c>
      <c r="H62" s="118">
        <f t="shared" si="35"/>
        <v>2831.5000000000005</v>
      </c>
      <c r="I62" s="88">
        <f t="shared" si="38"/>
        <v>827.4000000000001</v>
      </c>
      <c r="J62" s="88">
        <f t="shared" si="38"/>
        <v>863.1000000000001</v>
      </c>
      <c r="K62" s="88">
        <f t="shared" si="38"/>
        <v>871.57</v>
      </c>
      <c r="L62" s="88">
        <f t="shared" si="38"/>
        <v>908.8870000000001</v>
      </c>
      <c r="M62" s="88">
        <f t="shared" si="38"/>
        <v>919.1357000000002</v>
      </c>
      <c r="N62" s="88">
        <f t="shared" si="38"/>
        <v>958.4092700000002</v>
      </c>
      <c r="O62" s="88">
        <f t="shared" si="38"/>
        <v>1232.6101970000002</v>
      </c>
      <c r="P62" s="88">
        <f t="shared" si="38"/>
        <v>1246.2512167000002</v>
      </c>
      <c r="Q62" s="88">
        <f t="shared" si="38"/>
        <v>1332.6563383700002</v>
      </c>
      <c r="R62" s="88">
        <f t="shared" si="38"/>
        <v>1349.1619722070002</v>
      </c>
      <c r="S62" s="88">
        <f>S35*0.28</f>
        <v>1375.7181694277003</v>
      </c>
      <c r="T62" s="88">
        <f>T35*0.28</f>
        <v>1395.6899863704705</v>
      </c>
      <c r="U62" s="27">
        <f t="shared" si="36"/>
        <v>13280.589850075174</v>
      </c>
      <c r="V62" s="27">
        <f t="shared" si="37"/>
        <v>16112.089850075174</v>
      </c>
      <c r="W62" s="162">
        <f>V62*$W$78/100</f>
        <v>4028.022462518793</v>
      </c>
    </row>
    <row r="63" spans="1:23" ht="12.75" outlineLevel="1">
      <c r="A63" s="140" t="s">
        <v>76</v>
      </c>
      <c r="B63" s="55">
        <f>B35*0.054</f>
        <v>27</v>
      </c>
      <c r="C63" s="51">
        <f aca="true" t="shared" si="39" ref="C63:R63">C35*0.054</f>
        <v>64.8</v>
      </c>
      <c r="D63" s="51">
        <f t="shared" si="39"/>
        <v>91.8</v>
      </c>
      <c r="E63" s="51">
        <f t="shared" si="39"/>
        <v>111.78</v>
      </c>
      <c r="F63" s="51">
        <f t="shared" si="39"/>
        <v>123.525</v>
      </c>
      <c r="G63" s="51">
        <f t="shared" si="39"/>
        <v>127.17</v>
      </c>
      <c r="H63" s="118">
        <f t="shared" si="35"/>
        <v>546.0749999999999</v>
      </c>
      <c r="I63" s="88">
        <f t="shared" si="39"/>
        <v>159.57</v>
      </c>
      <c r="J63" s="88">
        <f t="shared" si="39"/>
        <v>166.45499999999998</v>
      </c>
      <c r="K63" s="88">
        <f t="shared" si="39"/>
        <v>168.0885</v>
      </c>
      <c r="L63" s="88">
        <f t="shared" si="39"/>
        <v>175.28535</v>
      </c>
      <c r="M63" s="88">
        <f t="shared" si="39"/>
        <v>177.261885</v>
      </c>
      <c r="N63" s="88">
        <f t="shared" si="39"/>
        <v>184.83607350000003</v>
      </c>
      <c r="O63" s="88">
        <f t="shared" si="39"/>
        <v>237.71768085000002</v>
      </c>
      <c r="P63" s="88">
        <f t="shared" si="39"/>
        <v>240.34844893500002</v>
      </c>
      <c r="Q63" s="88">
        <f t="shared" si="39"/>
        <v>257.0122938285</v>
      </c>
      <c r="R63" s="88">
        <f t="shared" si="39"/>
        <v>260.19552321135</v>
      </c>
      <c r="S63" s="88">
        <f>S35*0.054</f>
        <v>265.31707553248503</v>
      </c>
      <c r="T63" s="88">
        <f>T35*0.054</f>
        <v>269.16878308573354</v>
      </c>
      <c r="U63" s="27">
        <f t="shared" si="36"/>
        <v>2561.2566139430687</v>
      </c>
      <c r="V63" s="27">
        <f t="shared" si="37"/>
        <v>3107.3316139430685</v>
      </c>
      <c r="W63" s="162">
        <f aca="true" t="shared" si="40" ref="W63:W72">V63*$W$78/100</f>
        <v>776.8329034857671</v>
      </c>
    </row>
    <row r="64" spans="1:23" ht="12.75" outlineLevel="1">
      <c r="A64" s="140" t="s">
        <v>77</v>
      </c>
      <c r="B64" s="55">
        <f>B35*0.036</f>
        <v>18</v>
      </c>
      <c r="C64" s="51">
        <f aca="true" t="shared" si="41" ref="C64:R64">C35*0.036</f>
        <v>43.199999999999996</v>
      </c>
      <c r="D64" s="51">
        <f t="shared" si="41"/>
        <v>61.199999999999996</v>
      </c>
      <c r="E64" s="51">
        <f t="shared" si="41"/>
        <v>74.52</v>
      </c>
      <c r="F64" s="51">
        <f t="shared" si="41"/>
        <v>82.35</v>
      </c>
      <c r="G64" s="51">
        <f t="shared" si="41"/>
        <v>84.77999999999999</v>
      </c>
      <c r="H64" s="118">
        <f t="shared" si="35"/>
        <v>364.04999999999995</v>
      </c>
      <c r="I64" s="88">
        <f t="shared" si="41"/>
        <v>106.38</v>
      </c>
      <c r="J64" s="88">
        <f t="shared" si="41"/>
        <v>110.96999999999998</v>
      </c>
      <c r="K64" s="88">
        <f t="shared" si="41"/>
        <v>112.059</v>
      </c>
      <c r="L64" s="88">
        <f t="shared" si="41"/>
        <v>116.8569</v>
      </c>
      <c r="M64" s="88">
        <f t="shared" si="41"/>
        <v>118.17459</v>
      </c>
      <c r="N64" s="88">
        <f t="shared" si="41"/>
        <v>123.22404900000001</v>
      </c>
      <c r="O64" s="88">
        <f t="shared" si="41"/>
        <v>158.4784539</v>
      </c>
      <c r="P64" s="88">
        <f t="shared" si="41"/>
        <v>160.23229929</v>
      </c>
      <c r="Q64" s="88">
        <f t="shared" si="41"/>
        <v>171.341529219</v>
      </c>
      <c r="R64" s="88">
        <f t="shared" si="41"/>
        <v>173.4636821409</v>
      </c>
      <c r="S64" s="88">
        <f>S35*0.036</f>
        <v>176.87805035499</v>
      </c>
      <c r="T64" s="88">
        <f>T35*0.036</f>
        <v>179.44585539048902</v>
      </c>
      <c r="U64" s="27">
        <f t="shared" si="36"/>
        <v>1707.504409295379</v>
      </c>
      <c r="V64" s="27">
        <f t="shared" si="37"/>
        <v>2071.5544092953787</v>
      </c>
      <c r="W64" s="162">
        <f t="shared" si="40"/>
        <v>517.8886023238447</v>
      </c>
    </row>
    <row r="65" spans="1:23" ht="12.75" outlineLevel="1">
      <c r="A65" s="140" t="s">
        <v>78</v>
      </c>
      <c r="B65" s="55">
        <f>B35*0.02</f>
        <v>10</v>
      </c>
      <c r="C65" s="55">
        <f aca="true" t="shared" si="42" ref="C65:R65">C35*0.02</f>
        <v>24</v>
      </c>
      <c r="D65" s="55">
        <f t="shared" si="42"/>
        <v>34</v>
      </c>
      <c r="E65" s="51">
        <f t="shared" si="42"/>
        <v>41.4</v>
      </c>
      <c r="F65" s="51">
        <f t="shared" si="42"/>
        <v>45.75</v>
      </c>
      <c r="G65" s="51">
        <f t="shared" si="42"/>
        <v>47.1</v>
      </c>
      <c r="H65" s="118">
        <f t="shared" si="35"/>
        <v>202.25</v>
      </c>
      <c r="I65" s="88">
        <f t="shared" si="42"/>
        <v>59.1</v>
      </c>
      <c r="J65" s="88">
        <f t="shared" si="42"/>
        <v>61.65</v>
      </c>
      <c r="K65" s="88">
        <f t="shared" si="42"/>
        <v>62.255</v>
      </c>
      <c r="L65" s="88">
        <f t="shared" si="42"/>
        <v>64.9205</v>
      </c>
      <c r="M65" s="88">
        <f t="shared" si="42"/>
        <v>65.65255</v>
      </c>
      <c r="N65" s="88">
        <f t="shared" si="42"/>
        <v>68.45780500000001</v>
      </c>
      <c r="O65" s="88">
        <f t="shared" si="42"/>
        <v>88.0435855</v>
      </c>
      <c r="P65" s="88">
        <f t="shared" si="42"/>
        <v>89.01794405000001</v>
      </c>
      <c r="Q65" s="88">
        <f t="shared" si="42"/>
        <v>95.18973845500001</v>
      </c>
      <c r="R65" s="88">
        <f t="shared" si="42"/>
        <v>96.36871230050001</v>
      </c>
      <c r="S65" s="88">
        <f>S35*0.02</f>
        <v>98.26558353055002</v>
      </c>
      <c r="T65" s="88">
        <f>T35*0.02</f>
        <v>99.69214188360502</v>
      </c>
      <c r="U65" s="27">
        <f t="shared" si="36"/>
        <v>948.613560719655</v>
      </c>
      <c r="V65" s="27">
        <f t="shared" si="37"/>
        <v>1150.863560719655</v>
      </c>
      <c r="W65" s="162">
        <f t="shared" si="40"/>
        <v>287.71589017991374</v>
      </c>
    </row>
    <row r="66" spans="1:23" ht="12.75" outlineLevel="1">
      <c r="A66" s="140" t="s">
        <v>79</v>
      </c>
      <c r="B66" s="55">
        <f>B35*0.01</f>
        <v>5</v>
      </c>
      <c r="C66" s="55">
        <f aca="true" t="shared" si="43" ref="C66:R66">C35*0.01</f>
        <v>12</v>
      </c>
      <c r="D66" s="55">
        <f t="shared" si="43"/>
        <v>17</v>
      </c>
      <c r="E66" s="51">
        <f t="shared" si="43"/>
        <v>20.7</v>
      </c>
      <c r="F66" s="51">
        <f t="shared" si="43"/>
        <v>22.875</v>
      </c>
      <c r="G66" s="51">
        <f t="shared" si="43"/>
        <v>23.55</v>
      </c>
      <c r="H66" s="118">
        <f t="shared" si="35"/>
        <v>101.125</v>
      </c>
      <c r="I66" s="88">
        <f t="shared" si="43"/>
        <v>29.55</v>
      </c>
      <c r="J66" s="88">
        <f t="shared" si="43"/>
        <v>30.825</v>
      </c>
      <c r="K66" s="88">
        <f t="shared" si="43"/>
        <v>31.1275</v>
      </c>
      <c r="L66" s="88">
        <f t="shared" si="43"/>
        <v>32.46025</v>
      </c>
      <c r="M66" s="88">
        <f t="shared" si="43"/>
        <v>32.826275</v>
      </c>
      <c r="N66" s="88">
        <f t="shared" si="43"/>
        <v>34.228902500000004</v>
      </c>
      <c r="O66" s="88">
        <f t="shared" si="43"/>
        <v>44.02179275</v>
      </c>
      <c r="P66" s="88">
        <f t="shared" si="43"/>
        <v>44.508972025000006</v>
      </c>
      <c r="Q66" s="88">
        <f t="shared" si="43"/>
        <v>47.594869227500006</v>
      </c>
      <c r="R66" s="88">
        <f t="shared" si="43"/>
        <v>48.184356150250004</v>
      </c>
      <c r="S66" s="88">
        <f>S35*0.01</f>
        <v>49.13279176527501</v>
      </c>
      <c r="T66" s="88">
        <f>T35*0.01</f>
        <v>49.84607094180251</v>
      </c>
      <c r="U66" s="27">
        <f t="shared" si="36"/>
        <v>474.3067803598275</v>
      </c>
      <c r="V66" s="27">
        <f t="shared" si="37"/>
        <v>575.4317803598275</v>
      </c>
      <c r="W66" s="162">
        <f t="shared" si="40"/>
        <v>143.85794508995687</v>
      </c>
    </row>
    <row r="67" spans="1:23" ht="12.75" outlineLevel="1">
      <c r="A67" s="140" t="s">
        <v>80</v>
      </c>
      <c r="B67" s="51">
        <f>(B6+B29)*0.8*0.008</f>
        <v>0</v>
      </c>
      <c r="C67" s="51">
        <f aca="true" t="shared" si="44" ref="C67:R67">(C6+C29)*0.8*0.008</f>
        <v>0</v>
      </c>
      <c r="D67" s="51">
        <f t="shared" si="44"/>
        <v>6.4</v>
      </c>
      <c r="E67" s="51">
        <f t="shared" si="44"/>
        <v>17.28</v>
      </c>
      <c r="F67" s="51">
        <f t="shared" si="44"/>
        <v>31.2</v>
      </c>
      <c r="G67" s="51">
        <f t="shared" si="44"/>
        <v>35.52</v>
      </c>
      <c r="H67" s="118">
        <f t="shared" si="35"/>
        <v>90.4</v>
      </c>
      <c r="I67" s="47">
        <f t="shared" si="44"/>
        <v>54.72</v>
      </c>
      <c r="J67" s="47">
        <f t="shared" si="44"/>
        <v>69.28</v>
      </c>
      <c r="K67" s="47">
        <f t="shared" si="44"/>
        <v>71.21600000000001</v>
      </c>
      <c r="L67" s="47">
        <f t="shared" si="44"/>
        <v>79.74560000000001</v>
      </c>
      <c r="M67" s="47">
        <f t="shared" si="44"/>
        <v>82.08816000000002</v>
      </c>
      <c r="N67" s="47">
        <f t="shared" si="44"/>
        <v>91.06497600000003</v>
      </c>
      <c r="O67" s="47">
        <f t="shared" si="44"/>
        <v>96.13947360000003</v>
      </c>
      <c r="P67" s="47">
        <f t="shared" si="44"/>
        <v>99.25742096000002</v>
      </c>
      <c r="Q67" s="47">
        <f t="shared" si="44"/>
        <v>119.00716305600002</v>
      </c>
      <c r="R67" s="47">
        <f t="shared" si="44"/>
        <v>122.77987936160004</v>
      </c>
      <c r="S67" s="47">
        <f>(S6+S29)*0.8*0.008</f>
        <v>128.84986729776003</v>
      </c>
      <c r="T67" s="47">
        <f>(T6+T29)*0.8*0.008</f>
        <v>133.41485402753605</v>
      </c>
      <c r="U67" s="27">
        <f t="shared" si="36"/>
        <v>1147.5633943028963</v>
      </c>
      <c r="V67" s="27">
        <f t="shared" si="37"/>
        <v>1237.9633943028964</v>
      </c>
      <c r="W67" s="162">
        <f t="shared" si="40"/>
        <v>309.4908485757241</v>
      </c>
    </row>
    <row r="68" spans="1:23" ht="12.75" outlineLevel="1">
      <c r="A68" s="140" t="s">
        <v>83</v>
      </c>
      <c r="B68" s="57">
        <f>IF('прибыли (убытки)'!B$68&lt;=0,0,B$35*0.01)</f>
        <v>0</v>
      </c>
      <c r="C68" s="57">
        <f>IF('прибыли (убытки)'!C$68&lt;=0,0,C$35*0.01)</f>
        <v>0</v>
      </c>
      <c r="D68" s="57">
        <f>IF('прибыли (убытки)'!D$68&lt;=0,0,D$35*0.01)</f>
        <v>0</v>
      </c>
      <c r="E68" s="57">
        <f>IF('прибыли (убытки)'!E$68&lt;=0,0,E$35*0.01)</f>
        <v>0</v>
      </c>
      <c r="F68" s="57">
        <f>IF('прибыли (убытки)'!F$68&lt;=0,0,F$35*0.01)</f>
        <v>0</v>
      </c>
      <c r="G68" s="57">
        <f>IF('прибыли (убытки)'!G$68&lt;=0,0,G$35*0.01)</f>
        <v>0</v>
      </c>
      <c r="H68" s="118">
        <f t="shared" si="35"/>
        <v>0</v>
      </c>
      <c r="I68" s="57">
        <f>IF('прибыли (убытки)'!I$68&lt;=0,0,I$35*0.01)</f>
        <v>0</v>
      </c>
      <c r="J68" s="57">
        <f>IF('прибыли (убытки)'!J$68&lt;=0,0,J$35*0.01)</f>
        <v>30.825</v>
      </c>
      <c r="K68" s="57">
        <f>IF('прибыли (убытки)'!K$68&lt;=0,0,K$35*0.01)</f>
        <v>31.1275</v>
      </c>
      <c r="L68" s="57">
        <f>IF('прибыли (убытки)'!L$68&lt;=0,0,L$35*0.01)</f>
        <v>32.46025</v>
      </c>
      <c r="M68" s="57">
        <f>IF('прибыли (убытки)'!M$68&lt;=0,0,M$35*0.01)</f>
        <v>32.826275</v>
      </c>
      <c r="N68" s="57">
        <f>IF('прибыли (убытки)'!N$68&lt;=0,0,N$35*0.01)</f>
        <v>34.228902500000004</v>
      </c>
      <c r="O68" s="57">
        <f>IF('прибыли (убытки)'!O$68&lt;=0,0,O$35*0.01)</f>
        <v>44.02179275</v>
      </c>
      <c r="P68" s="57">
        <f>IF('прибыли (убытки)'!P$68&lt;=0,0,P$35*0.01)</f>
        <v>44.508972025000006</v>
      </c>
      <c r="Q68" s="57">
        <f>IF('прибыли (убытки)'!Q$68&lt;=0,0,Q$35*0.01)</f>
        <v>47.594869227500006</v>
      </c>
      <c r="R68" s="57">
        <f>IF('прибыли (убытки)'!R$68&lt;=0,0,R$35*0.01)</f>
        <v>48.184356150250004</v>
      </c>
      <c r="S68" s="57">
        <f>IF('прибыли (убытки)'!S$68&lt;=0,0,S$35*0.01)</f>
        <v>49.13279176527501</v>
      </c>
      <c r="T68" s="57">
        <f>IF('прибыли (убытки)'!T$68&lt;=0,0,T$35*0.01)</f>
        <v>49.84607094180251</v>
      </c>
      <c r="U68" s="27">
        <f t="shared" si="36"/>
        <v>444.7567803598275</v>
      </c>
      <c r="V68" s="27">
        <f t="shared" si="37"/>
        <v>444.7567803598275</v>
      </c>
      <c r="W68" s="162">
        <f t="shared" si="40"/>
        <v>111.18919508995687</v>
      </c>
    </row>
    <row r="69" spans="1:23" ht="12.75" outlineLevel="1">
      <c r="A69" s="140" t="s">
        <v>84</v>
      </c>
      <c r="B69" s="56">
        <f>IF('прибыли (убытки)'!B68&lt;=0,0,(SUM($B56:$G56,$I56:$T56)-'прибыли (убытки)'!B57*B2)*0.015)</f>
        <v>0</v>
      </c>
      <c r="C69" s="56">
        <f>IF('прибыли (убытки)'!C68&lt;=0,0,(SUM($B56:$G56,$I56:$T56)-'прибыли (убытки)'!C57*C2)*0.015)</f>
        <v>0</v>
      </c>
      <c r="D69" s="56">
        <f>IF('прибыли (убытки)'!D68&lt;=0,0,(SUM($B56:$G56,$I56:$T56)-'прибыли (убытки)'!D57*D2)*0.015)</f>
        <v>0</v>
      </c>
      <c r="E69" s="56">
        <f>IF('прибыли (убытки)'!E68&lt;=0,0,(SUM($B56:$G56,$I56:$T56)-'прибыли (убытки)'!E57*E2)*0.015)</f>
        <v>0</v>
      </c>
      <c r="F69" s="56">
        <f>IF('прибыли (убытки)'!F68&lt;=0,0,(SUM($B56:$G56,$I56:$T56)-'прибыли (убытки)'!F57*F2)*0.015)</f>
        <v>0</v>
      </c>
      <c r="G69" s="56">
        <f>IF('прибыли (убытки)'!G68&lt;=0,0,(SUM($B56:$G56,$I56:$T56)-'прибыли (убытки)'!G57*G2)*0.015)</f>
        <v>0</v>
      </c>
      <c r="H69" s="118">
        <f t="shared" si="35"/>
        <v>0</v>
      </c>
      <c r="I69" s="56">
        <f>IF('прибыли (убытки)'!I68&lt;=0,0,(SUM($B56:$G56,$I56:$T56)-'прибыли (убытки)'!I57*I2)*0.015)</f>
        <v>0</v>
      </c>
      <c r="J69" s="56">
        <f>IF('прибыли (убытки)'!J68&lt;=0,0,(SUM($B56:$G56,$I56:$T56)-'прибыли (убытки)'!J57*J2)*0.015)</f>
        <v>99.99999999999999</v>
      </c>
      <c r="K69" s="56">
        <f>IF('прибыли (убытки)'!K68&lt;=0,0,(SUM($B56:$G56,$I56:$T56)-'прибыли (убытки)'!K57*K2)*0.015)</f>
        <v>89.99999999999999</v>
      </c>
      <c r="L69" s="56">
        <f>IF('прибыли (убытки)'!L68&lt;=0,0,(SUM($B56:$G56,$I56:$T56)-'прибыли (убытки)'!L57*L2)*0.015)</f>
        <v>79.99999999999999</v>
      </c>
      <c r="M69" s="56">
        <f>IF('прибыли (убытки)'!M68&lt;=0,0,(SUM($B56:$G56,$I56:$T56)-'прибыли (убытки)'!M57*M2)*0.015)</f>
        <v>69.99999999999999</v>
      </c>
      <c r="N69" s="56">
        <f>IF('прибыли (убытки)'!N68&lt;=0,0,(SUM($B56:$G56,$I56:$T56)-'прибыли (убытки)'!N57*N2)*0.015)</f>
        <v>59.999999999999986</v>
      </c>
      <c r="O69" s="56">
        <f>IF('прибыли (убытки)'!O68&lt;=0,0,(SUM($B56:$G56,$I56:$T56)-'прибыли (убытки)'!O57*O2)*0.015)</f>
        <v>49.99999999999998</v>
      </c>
      <c r="P69" s="56">
        <f>IF('прибыли (убытки)'!P68&lt;=0,0,(SUM($B56:$G56,$I56:$T56)-'прибыли (убытки)'!P57*P2)*0.015)</f>
        <v>39.99999999999999</v>
      </c>
      <c r="Q69" s="56">
        <f>IF('прибыли (убытки)'!Q68&lt;=0,0,(SUM($B56:$G56,$I56:$T56)-'прибыли (убытки)'!Q57*Q2)*0.015)</f>
        <v>29.99999999999997</v>
      </c>
      <c r="R69" s="56">
        <f>IF('прибыли (убытки)'!R68&lt;=0,0,(SUM($B56:$G56,$I56:$T56)-'прибыли (убытки)'!R57*R2)*0.015)</f>
        <v>19.999999999999982</v>
      </c>
      <c r="S69" s="56">
        <f>IF('прибыли (убытки)'!S68&lt;=0,0,(SUM($B56:$G56,$I56:$T56)-'прибыли (убытки)'!S57*S2)*0.015)</f>
        <v>9.999999999999991</v>
      </c>
      <c r="T69" s="56">
        <f>IF('прибыли (убытки)'!T68&lt;=0,0,(SUM($B56:$G56,$I56:$T56)-'прибыли (убытки)'!T57*T2)*0.015)</f>
        <v>-2.7284841053187846E-14</v>
      </c>
      <c r="U69" s="27">
        <f t="shared" si="36"/>
        <v>549.9999999999999</v>
      </c>
      <c r="V69" s="27">
        <f t="shared" si="37"/>
        <v>549.9999999999999</v>
      </c>
      <c r="W69" s="162">
        <f t="shared" si="40"/>
        <v>137.49999999999997</v>
      </c>
    </row>
    <row r="70" spans="1:23" ht="12.75" outlineLevel="1">
      <c r="A70" s="140" t="s">
        <v>85</v>
      </c>
      <c r="B70" s="57">
        <f>IF('прибыли (убытки)'!B$68&lt;=0,0,B$35*0.015)</f>
        <v>0</v>
      </c>
      <c r="C70" s="57">
        <f>IF('прибыли (убытки)'!C$68&lt;=0,0,C$35*0.015)</f>
        <v>0</v>
      </c>
      <c r="D70" s="57">
        <f>IF('прибыли (убытки)'!D$68&lt;=0,0,D$35*0.015)</f>
        <v>0</v>
      </c>
      <c r="E70" s="57">
        <f>IF('прибыли (убытки)'!E$68&lt;=0,0,E$35*0.015)</f>
        <v>0</v>
      </c>
      <c r="F70" s="57">
        <f>IF('прибыли (убытки)'!F$68&lt;=0,0,F$35*0.015)</f>
        <v>0</v>
      </c>
      <c r="G70" s="57">
        <f>IF('прибыли (убытки)'!G$68&lt;=0,0,G$35*0.015)</f>
        <v>0</v>
      </c>
      <c r="H70" s="118">
        <f t="shared" si="35"/>
        <v>0</v>
      </c>
      <c r="I70" s="57">
        <f>IF('прибыли (убытки)'!I$68&lt;=0,0,I$35*0.015)</f>
        <v>0</v>
      </c>
      <c r="J70" s="57">
        <f>IF('прибыли (убытки)'!J$68&lt;=0,0,J$35*0.015)</f>
        <v>46.2375</v>
      </c>
      <c r="K70" s="57">
        <f>IF('прибыли (убытки)'!K$68&lt;=0,0,K$35*0.015)</f>
        <v>46.69125</v>
      </c>
      <c r="L70" s="57">
        <f>IF('прибыли (убытки)'!L$68&lt;=0,0,L$35*0.015)</f>
        <v>48.690375</v>
      </c>
      <c r="M70" s="57">
        <f>IF('прибыли (убытки)'!M$68&lt;=0,0,M$35*0.015)</f>
        <v>49.2394125</v>
      </c>
      <c r="N70" s="57">
        <f>IF('прибыли (убытки)'!N$68&lt;=0,0,N$35*0.015)</f>
        <v>51.343353750000006</v>
      </c>
      <c r="O70" s="57">
        <f>IF('прибыли (убытки)'!O$68&lt;=0,0,O$35*0.015)</f>
        <v>66.032689125</v>
      </c>
      <c r="P70" s="57">
        <f>IF('прибыли (убытки)'!P$68&lt;=0,0,P$35*0.015)</f>
        <v>66.7634580375</v>
      </c>
      <c r="Q70" s="57">
        <f>IF('прибыли (убытки)'!Q$68&lt;=0,0,Q$35*0.015)</f>
        <v>71.39230384125</v>
      </c>
      <c r="R70" s="57">
        <f>IF('прибыли (убытки)'!R$68&lt;=0,0,R$35*0.015)</f>
        <v>72.276534225375</v>
      </c>
      <c r="S70" s="57">
        <f>IF('прибыли (убытки)'!S$68&lt;=0,0,S$35*0.015)</f>
        <v>73.69918764791251</v>
      </c>
      <c r="T70" s="57">
        <f>IF('прибыли (убытки)'!T$68&lt;=0,0,T$35*0.015)</f>
        <v>74.76910641270376</v>
      </c>
      <c r="U70" s="27">
        <f t="shared" si="36"/>
        <v>667.1351705397412</v>
      </c>
      <c r="V70" s="27">
        <f t="shared" si="37"/>
        <v>667.1351705397412</v>
      </c>
      <c r="W70" s="162">
        <f t="shared" si="40"/>
        <v>166.7837926349353</v>
      </c>
    </row>
    <row r="71" spans="1:23" ht="12.75" outlineLevel="1">
      <c r="A71" s="158" t="s">
        <v>104</v>
      </c>
      <c r="B71" s="58"/>
      <c r="C71" s="58"/>
      <c r="D71" s="58"/>
      <c r="E71" s="58"/>
      <c r="F71" s="58"/>
      <c r="G71" s="58"/>
      <c r="H71" s="118">
        <f t="shared" si="35"/>
        <v>0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27">
        <f t="shared" si="36"/>
        <v>0</v>
      </c>
      <c r="V71" s="27">
        <f t="shared" si="37"/>
        <v>0</v>
      </c>
      <c r="W71" s="162">
        <f t="shared" si="40"/>
        <v>0</v>
      </c>
    </row>
    <row r="72" spans="1:23" ht="12.75" outlineLevel="1">
      <c r="A72" s="158" t="s">
        <v>87</v>
      </c>
      <c r="B72" s="49">
        <f>'прибыли (убытки)'!B74</f>
        <v>0</v>
      </c>
      <c r="C72" s="49">
        <f>'прибыли (убытки)'!C74</f>
        <v>0</v>
      </c>
      <c r="D72" s="49">
        <f>'прибыли (убытки)'!D74</f>
        <v>0</v>
      </c>
      <c r="E72" s="49">
        <f>'прибыли (убытки)'!E74</f>
        <v>0</v>
      </c>
      <c r="F72" s="49">
        <f>'прибыли (убытки)'!F74</f>
        <v>0</v>
      </c>
      <c r="G72" s="49">
        <f>'прибыли (убытки)'!G74</f>
        <v>0</v>
      </c>
      <c r="H72" s="118">
        <f t="shared" si="35"/>
        <v>0</v>
      </c>
      <c r="I72" s="49">
        <f>'прибыли (убытки)'!I74</f>
        <v>0</v>
      </c>
      <c r="J72" s="49">
        <f>'прибыли (убытки)'!J74</f>
        <v>365.68845833333336</v>
      </c>
      <c r="K72" s="49">
        <f>'прибыли (убытки)'!K74</f>
        <v>438.12367083333334</v>
      </c>
      <c r="L72" s="49">
        <f>'прибыли (убытки)'!L74</f>
        <v>745.3374045833334</v>
      </c>
      <c r="M72" s="49">
        <f>'прибыли (убытки)'!M74</f>
        <v>832.2490117083333</v>
      </c>
      <c r="N72" s="49">
        <f>'прибыли (убытки)'!N74</f>
        <v>1155.3867795458336</v>
      </c>
      <c r="O72" s="49">
        <f>'прибыли (убытки)'!O74</f>
        <v>890.6995741670843</v>
      </c>
      <c r="P72" s="49">
        <f>'прибыли (убытки)'!P74</f>
        <v>1005.2204232504589</v>
      </c>
      <c r="Q72" s="49">
        <f>'прибыли (убытки)'!Q74</f>
        <v>1711.9501072421715</v>
      </c>
      <c r="R72" s="49">
        <f>'прибыли (убытки)'!R74</f>
        <v>1849.7853346330555</v>
      </c>
      <c r="S72" s="49">
        <f>'прибыли (убытки)'!S74</f>
        <v>2069.4195847630276</v>
      </c>
      <c r="T72" s="49">
        <f>'прибыли (убытки)'!T74</f>
        <v>2235.465209905998</v>
      </c>
      <c r="U72" s="27">
        <f t="shared" si="36"/>
        <v>13299.325558965964</v>
      </c>
      <c r="V72" s="27">
        <f t="shared" si="37"/>
        <v>13299.325558965964</v>
      </c>
      <c r="W72" s="162">
        <f t="shared" si="40"/>
        <v>3324.8313897414905</v>
      </c>
    </row>
    <row r="73" spans="1:23" ht="12.75">
      <c r="A73" s="146" t="s">
        <v>105</v>
      </c>
      <c r="B73" s="52">
        <f>(B6+B29)*0.2-(B34-B35)*0.2</f>
        <v>-252.66666666666666</v>
      </c>
      <c r="C73" s="52">
        <f aca="true" t="shared" si="45" ref="C73:R73">(C6+C29)*0.2-(C34-C35)*0.2</f>
        <v>-256.66666666666663</v>
      </c>
      <c r="D73" s="52">
        <f t="shared" si="45"/>
        <v>-76.66666666666663</v>
      </c>
      <c r="E73" s="52">
        <f t="shared" si="45"/>
        <v>243.33333333333337</v>
      </c>
      <c r="F73" s="52">
        <f t="shared" si="45"/>
        <v>658.3333333333334</v>
      </c>
      <c r="G73" s="52">
        <f t="shared" si="45"/>
        <v>793.3333333333334</v>
      </c>
      <c r="H73" s="118">
        <f t="shared" si="35"/>
        <v>1109.0000000000002</v>
      </c>
      <c r="I73" s="52">
        <f t="shared" si="45"/>
        <v>1113.3333333333335</v>
      </c>
      <c r="J73" s="52">
        <f t="shared" si="45"/>
        <v>1568.3333333333335</v>
      </c>
      <c r="K73" s="52">
        <f t="shared" si="45"/>
        <v>1628.8333333333335</v>
      </c>
      <c r="L73" s="52">
        <f t="shared" si="45"/>
        <v>1895.3833333333334</v>
      </c>
      <c r="M73" s="52">
        <f t="shared" si="45"/>
        <v>1968.5883333333338</v>
      </c>
      <c r="N73" s="52">
        <f t="shared" si="45"/>
        <v>2249.1138333333342</v>
      </c>
      <c r="O73" s="52">
        <f t="shared" si="45"/>
        <v>2407.6918833333343</v>
      </c>
      <c r="P73" s="52">
        <f t="shared" si="45"/>
        <v>2505.127738333334</v>
      </c>
      <c r="Q73" s="52">
        <f t="shared" si="45"/>
        <v>3122.307178833334</v>
      </c>
      <c r="R73" s="52">
        <f t="shared" si="45"/>
        <v>3240.2045633833345</v>
      </c>
      <c r="S73" s="52">
        <f>(S6+S29)*0.2-(S34-S35)*0.2</f>
        <v>3429.8916863883346</v>
      </c>
      <c r="T73" s="52">
        <f>(T6+T29)*0.2-(T34-T35)*0.2</f>
        <v>3572.5475216938353</v>
      </c>
      <c r="U73" s="40">
        <f>SUM(I73:T73)</f>
        <v>28701.356071965507</v>
      </c>
      <c r="V73" s="19">
        <f t="shared" si="37"/>
        <v>29810.356071965507</v>
      </c>
      <c r="W73" s="162">
        <f>(W6+W29)*0.2*$W$78/100-(W34-W35)*0.2</f>
        <v>795.5890179913749</v>
      </c>
    </row>
    <row r="74" spans="1:23" ht="25.5">
      <c r="A74" s="147" t="s">
        <v>106</v>
      </c>
      <c r="B74" s="60">
        <f>B4-B32-B5</f>
        <v>-13710.666666666668</v>
      </c>
      <c r="C74" s="60">
        <f aca="true" t="shared" si="46" ref="C74:R74">C4-C32-C5</f>
        <v>-2706.6666666666665</v>
      </c>
      <c r="D74" s="60">
        <f t="shared" si="46"/>
        <v>-2693.0666666666666</v>
      </c>
      <c r="E74" s="60">
        <f t="shared" si="46"/>
        <v>-1941.9466666666658</v>
      </c>
      <c r="F74" s="60">
        <f t="shared" si="46"/>
        <v>-600.3666666666659</v>
      </c>
      <c r="G74" s="60">
        <f t="shared" si="46"/>
        <v>-159.1866666666656</v>
      </c>
      <c r="H74" s="118">
        <f t="shared" si="35"/>
        <v>-21811.899999999998</v>
      </c>
      <c r="I74" s="60">
        <f t="shared" si="46"/>
        <v>261.6133333333328</v>
      </c>
      <c r="J74" s="60">
        <f t="shared" si="46"/>
        <v>1345.8023749999993</v>
      </c>
      <c r="K74" s="60">
        <f t="shared" si="46"/>
        <v>1480.3249125000002</v>
      </c>
      <c r="L74" s="60">
        <f t="shared" si="46"/>
        <v>2050.8647037499995</v>
      </c>
      <c r="M74" s="60">
        <f t="shared" si="46"/>
        <v>2212.2719741250003</v>
      </c>
      <c r="N74" s="60">
        <f t="shared" si="46"/>
        <v>2812.3849715375</v>
      </c>
      <c r="O74" s="60">
        <f t="shared" si="46"/>
        <v>2320.8230186912515</v>
      </c>
      <c r="P74" s="60">
        <f t="shared" si="46"/>
        <v>2533.5045955603764</v>
      </c>
      <c r="Q74" s="60">
        <f t="shared" si="46"/>
        <v>3846.002580116414</v>
      </c>
      <c r="R74" s="60">
        <f t="shared" si="46"/>
        <v>4101.982288128054</v>
      </c>
      <c r="S74" s="60">
        <f>S4-S32-S5</f>
        <v>4509.874466940859</v>
      </c>
      <c r="T74" s="60">
        <f>T4-T32-T5</f>
        <v>4818.244913634946</v>
      </c>
      <c r="U74" s="40">
        <f>SUM(I74:T74)</f>
        <v>32293.694133317735</v>
      </c>
      <c r="V74" s="19">
        <f>V4-V32-V5</f>
        <v>10481.794133317715</v>
      </c>
      <c r="W74" s="162">
        <f>W4-W32-W5</f>
        <v>68908.90027621301</v>
      </c>
    </row>
    <row r="75" spans="1:23" ht="26.25" thickBot="1">
      <c r="A75" s="154" t="s">
        <v>107</v>
      </c>
      <c r="B75" s="61">
        <f>B3+B74</f>
        <v>-13710.666666666668</v>
      </c>
      <c r="C75" s="61">
        <f aca="true" t="shared" si="47" ref="C75:R75">C3+C74</f>
        <v>-16417.333333333336</v>
      </c>
      <c r="D75" s="61">
        <f t="shared" si="47"/>
        <v>-19110.4</v>
      </c>
      <c r="E75" s="61">
        <f t="shared" si="47"/>
        <v>-21052.346666666668</v>
      </c>
      <c r="F75" s="61">
        <f t="shared" si="47"/>
        <v>-21652.713333333333</v>
      </c>
      <c r="G75" s="61">
        <f t="shared" si="47"/>
        <v>-21811.899999999998</v>
      </c>
      <c r="H75" s="118">
        <f>G75</f>
        <v>-21811.899999999998</v>
      </c>
      <c r="I75" s="61">
        <f t="shared" si="47"/>
        <v>-21550.286666666667</v>
      </c>
      <c r="J75" s="61">
        <f t="shared" si="47"/>
        <v>-20204.484291666668</v>
      </c>
      <c r="K75" s="61">
        <f t="shared" si="47"/>
        <v>-18724.159379166667</v>
      </c>
      <c r="L75" s="61">
        <f t="shared" si="47"/>
        <v>-16673.29467541667</v>
      </c>
      <c r="M75" s="61">
        <f t="shared" si="47"/>
        <v>-14461.02270129167</v>
      </c>
      <c r="N75" s="61">
        <f t="shared" si="47"/>
        <v>-11648.63772975417</v>
      </c>
      <c r="O75" s="61">
        <f t="shared" si="47"/>
        <v>-9327.814711062918</v>
      </c>
      <c r="P75" s="61">
        <f t="shared" si="47"/>
        <v>-6794.3101155025415</v>
      </c>
      <c r="Q75" s="61">
        <f t="shared" si="47"/>
        <v>-2948.3075353861277</v>
      </c>
      <c r="R75" s="61">
        <f t="shared" si="47"/>
        <v>1153.6747527419266</v>
      </c>
      <c r="S75" s="61">
        <f>S3+S74</f>
        <v>5663.549219682785</v>
      </c>
      <c r="T75" s="61">
        <f>T3+T74</f>
        <v>10481.794133317731</v>
      </c>
      <c r="U75" s="19">
        <f>T75</f>
        <v>10481.794133317731</v>
      </c>
      <c r="V75" s="19">
        <f>V3+V74</f>
        <v>10481.794133317715</v>
      </c>
      <c r="W75" s="162">
        <f>W3+W74</f>
        <v>68908.90027621301</v>
      </c>
    </row>
    <row r="76" spans="1:23" ht="12.75">
      <c r="A76" s="147" t="s">
        <v>108</v>
      </c>
      <c r="B76" s="96">
        <f>IF((B$6+B$29)&lt;=B$32,B$32-(B$6+B$29),0)</f>
        <v>13710.666666666668</v>
      </c>
      <c r="C76" s="96">
        <f aca="true" t="shared" si="48" ref="C76:R76">IF((C$6+C$29)&lt;=C$32,C$32-(C$6+C$29),0)</f>
        <v>2706.6666666666665</v>
      </c>
      <c r="D76" s="96">
        <f t="shared" si="48"/>
        <v>2693.0666666666666</v>
      </c>
      <c r="E76" s="96">
        <f t="shared" si="48"/>
        <v>1941.9466666666658</v>
      </c>
      <c r="F76" s="96">
        <f t="shared" si="48"/>
        <v>600.3666666666659</v>
      </c>
      <c r="G76" s="96">
        <f t="shared" si="48"/>
        <v>159.1866666666656</v>
      </c>
      <c r="H76" s="118">
        <f>SUM(B76:G76)</f>
        <v>21811.899999999998</v>
      </c>
      <c r="I76" s="96">
        <f t="shared" si="48"/>
        <v>0</v>
      </c>
      <c r="J76" s="96">
        <f t="shared" si="48"/>
        <v>0</v>
      </c>
      <c r="K76" s="96">
        <f t="shared" si="48"/>
        <v>0</v>
      </c>
      <c r="L76" s="96">
        <f t="shared" si="48"/>
        <v>0</v>
      </c>
      <c r="M76" s="96">
        <f t="shared" si="48"/>
        <v>0</v>
      </c>
      <c r="N76" s="96">
        <f t="shared" si="48"/>
        <v>0</v>
      </c>
      <c r="O76" s="96">
        <f t="shared" si="48"/>
        <v>0</v>
      </c>
      <c r="P76" s="96">
        <f t="shared" si="48"/>
        <v>0</v>
      </c>
      <c r="Q76" s="96">
        <f t="shared" si="48"/>
        <v>0</v>
      </c>
      <c r="R76" s="96">
        <f t="shared" si="48"/>
        <v>0</v>
      </c>
      <c r="S76" s="96">
        <f>IF((S$6+S$29)&lt;=S$32,S$32-(S$6+S$29),0)</f>
        <v>0</v>
      </c>
      <c r="T76" s="96">
        <f>IF((T$6+T$29)&lt;=T$32,T$32-(T$6+T$29),0)</f>
        <v>0</v>
      </c>
      <c r="U76" s="40">
        <f>SUM(I76:T76)</f>
        <v>0</v>
      </c>
      <c r="V76" s="40">
        <f>SUM(H76,U76)</f>
        <v>21811.899999999998</v>
      </c>
      <c r="W76" s="162">
        <f>V76</f>
        <v>21811.899999999998</v>
      </c>
    </row>
    <row r="77" spans="1:23" ht="13.5" thickBot="1">
      <c r="A77" s="148" t="s">
        <v>109</v>
      </c>
      <c r="B77" s="62">
        <f>IF(OR((B6+B29)&lt;=(B34+B56+B60+B73),(SUM($B74:B74)&gt;=$V76)),0,IF($V$76-SUM($B74:B74)&gt;(B6+B29)-(B34+B56+B60+B73),(B6+B29)-(B34+B56+B60+B73),$V$76-SUM($B74:B74)))</f>
        <v>0</v>
      </c>
      <c r="C77" s="62">
        <f>IF(OR((C6+C29)&lt;=(C34+C56+C60+C73),(SUM($B74:C74)&gt;=$V76)),0,IF($V$76-SUM($B74:C74)&gt;(C6+C29)-(C34+C56+C60+C73),(C6+C29)-(C34+C56+C60+C73),$V$76-SUM($B74:C74)))</f>
        <v>0</v>
      </c>
      <c r="D77" s="62">
        <f>IF(OR((D6+D29)&lt;=(D34+D56+D60+D73),(SUM($B74:D74)&gt;=$V76)),0,IF($V$76-SUM($B74:D74)&gt;(D6+D29)-(D34+D56+D60+D73),(D6+D29)-(D34+D56+D60+D73),$V$76-SUM($B74:D74)))</f>
        <v>0</v>
      </c>
      <c r="E77" s="62">
        <f>IF(OR((E6+E29)&lt;=(E34+E56+E60+E73),(SUM($B74:E74)&gt;=$V76)),0,IF($V$76-SUM($B74:E74)&gt;(E6+E29)-(E34+E56+E60+E73),(E6+E29)-(E34+E56+E60+E73),$V$76-SUM($B74:E74)))</f>
        <v>0</v>
      </c>
      <c r="F77" s="62">
        <f>IF(OR((F6+F29)&lt;=(F34+F56+F60+F73),(SUM($B74:F74)&gt;=$V76)),0,IF($V$76-SUM($B74:F74)&gt;(F6+F29)-(F34+F56+F60+F73),(F6+F29)-(F34+F56+F60+F73),$V$76-SUM($B74:F74)))</f>
        <v>0</v>
      </c>
      <c r="G77" s="62">
        <f>IF(OR((G6+G29)&lt;=(G34+G56+G60+G73),(SUM($B74:G74)&gt;=$V76)),0,IF($V$76-SUM($B74:G74)&gt;(G6+G29)-(G34+G56+G60+G73),(G6+G29)-(G34+G56+G60+G73),$V$76-SUM($B74:G74)))</f>
        <v>0</v>
      </c>
      <c r="H77" s="151">
        <f>SUM(B77:G77)</f>
        <v>0</v>
      </c>
      <c r="I77" s="62">
        <f>IF(OR((I6+I29)&lt;=(I34+I56+I60+I73),(SUM($B74:I74)&gt;=$V76)),0,IF($V$76-SUM($B74:I74)&gt;(I6+I29)-(I34+I56+I60+I73),(I6+I29)-(I34+I56+I60+I73),$V$76-SUM($B74:I74)))</f>
        <v>261.6133333333328</v>
      </c>
      <c r="J77" s="62">
        <f>IF(OR((J6+J29)&lt;=(J34+J56+J60+J73),(SUM($B74:J74)&gt;=$V76)),0,IF($V$76-SUM($B74:J74)&gt;(J6+J29)-(J34+J56+J60+J73),(J6+J29)-(J34+J56+J60+J73),$V$76-SUM($B74:J74)))</f>
        <v>1345.8023749999993</v>
      </c>
      <c r="K77" s="62">
        <f>IF(OR((K6+K29)&lt;=(K34+K56+K60+K73),(SUM($B74:K74)&gt;=$V76)),0,IF($V$76-SUM($B74:K74)&gt;(K6+K29)-(K34+K56+K60+K73),(K6+K29)-(K34+K56+K60+K73),$V$76-SUM($B74:K74)))</f>
        <v>1480.3249125000002</v>
      </c>
      <c r="L77" s="62">
        <f>IF(OR((L6+L29)&lt;=(L34+L56+L60+L73),(SUM($B74:L74)&gt;=$V76)),0,IF($V$76-SUM($B74:L74)&gt;(L6+L29)-(L34+L56+L60+L73),(L6+L29)-(L34+L56+L60+L73),$V$76-SUM($B74:L74)))</f>
        <v>2050.8647037499995</v>
      </c>
      <c r="M77" s="62">
        <f>IF(OR((M6+M29)&lt;=(M34+M56+M60+M73),(SUM($B74:M74)&gt;=$V76)),0,IF($V$76-SUM($B74:M74)&gt;(M6+M29)-(M34+M56+M60+M73),(M6+M29)-(M34+M56+M60+M73),$V$76-SUM($B74:M74)))</f>
        <v>2212.2719741250003</v>
      </c>
      <c r="N77" s="62">
        <f>IF(OR((N6+N29)&lt;=(N34+N56+N60+N73),(SUM($B74:N74)&gt;=$V76)),0,IF($V$76-SUM($B74:N74)&gt;(N6+N29)-(N34+N56+N60+N73),(N6+N29)-(N34+N56+N60+N73),$V$76-SUM($B74:N74)))</f>
        <v>2812.3849715375</v>
      </c>
      <c r="O77" s="62">
        <f>IF(OR((O6+O29)&lt;=(O34+O56+O60+O73),(SUM($B74:O74)&gt;=$V76)),0,IF($V$76-SUM($B74:O74)&gt;(O6+O29)-(O34+O56+O60+O73),(O6+O29)-(O34+O56+O60+O73),$V$76-SUM($B74:O74)))</f>
        <v>2320.8230186912515</v>
      </c>
      <c r="P77" s="62">
        <f>IF(OR((P6+P29)&lt;=(P34+P56+P60+P73),(SUM($B74:P74)&gt;=$V76)),0,IF($V$76-SUM($B74:P74)&gt;(P6+P29)-(P34+P56+P60+P73),(P6+P29)-(P34+P56+P60+P73),$V$76-SUM($B74:P74)))</f>
        <v>2533.5045955603764</v>
      </c>
      <c r="Q77" s="62">
        <f>IF(OR((Q6+Q29)&lt;=(Q34+Q56+Q60+Q73),(SUM($B74:Q74)&gt;=$V76)),0,IF($V$76-SUM($B74:Q74)&gt;(Q6+Q29)-(Q34+Q56+Q60+Q73),(Q6+Q29)-(Q34+Q56+Q60+Q73),$V$76-SUM($B74:Q74)))</f>
        <v>3846.002580116414</v>
      </c>
      <c r="R77" s="62">
        <f>IF(OR((R6+R29)&lt;=(R34+R56+R60+R73),(SUM($B74:R74)&gt;=$V76)),0,IF($V$76-SUM($B74:R74)&gt;(R6+R29)-(R34+R56+R60+R73),(R6+R29)-(R34+R56+R60+R73),$V$76-SUM($B74:R74)))</f>
        <v>4101.982288128054</v>
      </c>
      <c r="S77" s="62">
        <f>IF(OR((S6+S29)&lt;=(S34+S56+S60+S73),(SUM($B74:S74)&gt;=$V76)),0,IF($V$76-SUM($B74:S74)&gt;(S6+S29)-(S34+S56+S60+S73),(S6+S29)-(S34+S56+S60+S73),$V$76-SUM($B74:S74)))</f>
        <v>4509.874466940859</v>
      </c>
      <c r="T77" s="62">
        <f>IF(OR((T6+T29)&lt;=(T34+T56+T60+T73),(SUM($B74:T74)&gt;=$V76)),0,IF($V$76-SUM($B74:T74)&gt;(T6+T29)-(T34+T56+T60+T73),(T6+T29)-(T34+T56+T60+T73),$V$76-SUM($B74:T74)))</f>
        <v>4818.244913634946</v>
      </c>
      <c r="U77" s="40">
        <f>U76</f>
        <v>0</v>
      </c>
      <c r="V77" s="40">
        <f>V76</f>
        <v>21811.899999999998</v>
      </c>
      <c r="W77" s="163">
        <f>V77</f>
        <v>21811.899999999998</v>
      </c>
    </row>
    <row r="78" spans="21:23" ht="39" thickBot="1">
      <c r="U78" s="122" t="s">
        <v>89</v>
      </c>
      <c r="V78" s="123">
        <f>'прибыли (убытки)'!$V$76</f>
        <v>100</v>
      </c>
      <c r="W78" s="164">
        <f>'прибыли (убытки)'!$W$76</f>
        <v>25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Sokolov</dc:creator>
  <cp:keywords/>
  <dc:description>Приложение к Рабочей Тетради №17 МДК "Общепрофессиональный"</dc:description>
  <cp:lastModifiedBy>Vladislav Sokolov</cp:lastModifiedBy>
  <cp:lastPrinted>1997-07-31T09:49:55Z</cp:lastPrinted>
  <dcterms:created xsi:type="dcterms:W3CDTF">1997-07-22T10:32:01Z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